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78" yWindow="65525" windowWidth="19991" windowHeight="11441" activeTab="2"/>
  </bookViews>
  <sheets>
    <sheet name="Introduction" sheetId="1" r:id="rId1"/>
    <sheet name="Info &amp; Refs" sheetId="2" r:id="rId2"/>
    <sheet name="Statistics" sheetId="3" r:id="rId3"/>
  </sheets>
  <definedNames>
    <definedName name="BAK">'Statistics'!$C$50</definedName>
    <definedName name="BI">'Statistics'!$C$48</definedName>
    <definedName name="CI" localSheetId="2">'Statistics'!$B$9</definedName>
    <definedName name="Dice">'Statistics'!$C$53</definedName>
    <definedName name="DisNeg" localSheetId="2">'Statistics'!$E$6</definedName>
    <definedName name="DisPos" localSheetId="2">'Statistics'!$E$5</definedName>
    <definedName name="EFF">'Statistics'!$C$18</definedName>
    <definedName name="EFF_RAN">'Statistics'!$C$19</definedName>
    <definedName name="FN" localSheetId="2">'Statistics'!$D$5</definedName>
    <definedName name="FP" localSheetId="2">'Statistics'!$C$6</definedName>
    <definedName name="J">'Statistics'!$C$21</definedName>
    <definedName name="Kappa">'Statistics'!$C$39</definedName>
    <definedName name="lambda_asy">'Statistics'!$C$60</definedName>
    <definedName name="lambda_sym">'Statistics'!$C$59</definedName>
    <definedName name="LR_NEG">'Statistics'!$C$33</definedName>
    <definedName name="LR_POS">'Statistics'!$C$32</definedName>
    <definedName name="ND">'Statistics'!$K$9</definedName>
    <definedName name="OddR">'Statistics'!$C$35</definedName>
    <definedName name="P" localSheetId="2">'Statistics'!$C$29</definedName>
    <definedName name="PA">'Statistics'!$C$45</definedName>
    <definedName name="PABAK">'Statistics'!$C$51</definedName>
    <definedName name="PE">'Statistics'!$C$19</definedName>
    <definedName name="Pearson_Chi_Square">'Statistics'!$B$65</definedName>
    <definedName name="Phi">'Statistics'!$C$55</definedName>
    <definedName name="PI">'Statistics'!$C$49</definedName>
    <definedName name="PO">'Statistics'!$C$18</definedName>
    <definedName name="PVN">'Statistics'!$C$24</definedName>
    <definedName name="PVN_RAN">'Statistics'!$C$25</definedName>
    <definedName name="PVP">'Statistics'!$C$22</definedName>
    <definedName name="PVP_RAN">'Statistics'!$C$23</definedName>
    <definedName name="Q" localSheetId="2">'Statistics'!$C$30</definedName>
    <definedName name="Scott">'Statistics'!$C$56</definedName>
    <definedName name="SE" localSheetId="2">'Statistics'!$C$12</definedName>
    <definedName name="SE_RAN">'Statistics'!$C$13</definedName>
    <definedName name="SP" localSheetId="2">'Statistics'!$C$15</definedName>
    <definedName name="TestNeg" localSheetId="2">'Statistics'!$D$7</definedName>
    <definedName name="TestPos" localSheetId="2">'Statistics'!$C$7</definedName>
    <definedName name="Tetra">'Statistics'!$C$57</definedName>
    <definedName name="TN" localSheetId="2">'Statistics'!$D$6</definedName>
    <definedName name="Total" localSheetId="1">'Info &amp; Refs'!#REF!</definedName>
    <definedName name="Total" localSheetId="2">'Statistics'!$E$7</definedName>
    <definedName name="TP" localSheetId="2">'Statistics'!$C$5</definedName>
    <definedName name="U_asy">'Statistics'!$C$62</definedName>
    <definedName name="U_sym">'Statistics'!$C$61</definedName>
    <definedName name="Yules_Q">'Statistics'!$C$54</definedName>
  </definedNames>
  <calcPr fullCalcOnLoad="1"/>
</workbook>
</file>

<file path=xl/comments2.xml><?xml version="1.0" encoding="utf-8"?>
<comments xmlns="http://schemas.openxmlformats.org/spreadsheetml/2006/main">
  <authors>
    <author>Andrew Mackinnon</author>
  </authors>
  <commentList>
    <comment ref="A2" authorId="0">
      <text>
        <r>
          <rPr>
            <sz val="8"/>
            <rFont val="Tahoma"/>
            <family val="2"/>
          </rPr>
          <t>Proportion of true positives classified as positive by the test.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sz val="8"/>
            <rFont val="Tahoma"/>
            <family val="0"/>
          </rPr>
          <t xml:space="preserve">Sensitivity that would be expected by chance alone.
</t>
        </r>
      </text>
    </comment>
    <comment ref="A4" authorId="0">
      <text>
        <r>
          <rPr>
            <sz val="8"/>
            <rFont val="Tahoma"/>
            <family val="0"/>
          </rPr>
          <t xml:space="preserve">Chance corrected index of sensitivity.
</t>
        </r>
      </text>
    </comment>
    <comment ref="A5" authorId="0">
      <text>
        <r>
          <rPr>
            <sz val="8"/>
            <rFont val="Tahoma"/>
            <family val="0"/>
          </rPr>
          <t xml:space="preserve">Proportion of true negatives classified as negative by the test.
</t>
        </r>
      </text>
    </comment>
    <comment ref="A6" authorId="0">
      <text>
        <r>
          <rPr>
            <sz val="8"/>
            <rFont val="Tahoma"/>
            <family val="0"/>
          </rPr>
          <t xml:space="preserve">Specificity that would be expected by chance alone.
</t>
        </r>
      </text>
    </comment>
    <comment ref="A7" authorId="0">
      <text>
        <r>
          <rPr>
            <sz val="8"/>
            <rFont val="Tahoma"/>
            <family val="2"/>
          </rPr>
          <t>Chance corrected index of specificity.</t>
        </r>
      </text>
    </comment>
    <comment ref="A8" authorId="0">
      <text>
        <r>
          <rPr>
            <sz val="8"/>
            <rFont val="Tahoma"/>
            <family val="2"/>
          </rPr>
          <t>Proportion of positives and negatives classified correctly by the test.</t>
        </r>
        <r>
          <rPr>
            <b/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Tahoma"/>
            <family val="0"/>
          </rPr>
          <t xml:space="preserve">Correct classification rate that would be expected by chance alone.
</t>
        </r>
      </text>
    </comment>
    <comment ref="A10" authorId="0">
      <text>
        <r>
          <rPr>
            <sz val="8"/>
            <rFont val="Tahoma"/>
            <family val="0"/>
          </rPr>
          <t xml:space="preserve">Chance corrected index of agreement for both positive and negative observations. (Cohen's Kappa).
</t>
        </r>
      </text>
    </comment>
    <comment ref="A11" authorId="0">
      <text>
        <r>
          <rPr>
            <sz val="8"/>
            <rFont val="Tahoma"/>
            <family val="0"/>
          </rPr>
          <t xml:space="preserve">Omnibus index of sensitivity and specificity. Assumes that false positives and false negatives are equally important.
</t>
        </r>
      </text>
    </comment>
    <comment ref="A12" authorId="0">
      <text>
        <r>
          <rPr>
            <sz val="8"/>
            <rFont val="Tahoma"/>
            <family val="0"/>
          </rPr>
          <t xml:space="preserve">Probability that an observation with a positive test will be positive on the criterion.
</t>
        </r>
      </text>
    </comment>
    <comment ref="A13" authorId="0">
      <text>
        <r>
          <rPr>
            <sz val="8"/>
            <rFont val="Tahoma"/>
            <family val="0"/>
          </rPr>
          <t xml:space="preserve">Predictive value of a test with a random level of performance.
</t>
        </r>
      </text>
    </comment>
    <comment ref="A14" authorId="0">
      <text>
        <r>
          <rPr>
            <sz val="8"/>
            <rFont val="Tahoma"/>
            <family val="0"/>
          </rPr>
          <t xml:space="preserve">Probability that an observation with a negative test will be negative on the criterion.
</t>
        </r>
      </text>
    </comment>
    <comment ref="A15" authorId="0">
      <text>
        <r>
          <rPr>
            <sz val="8"/>
            <rFont val="Tahoma"/>
            <family val="0"/>
          </rPr>
          <t xml:space="preserve">Predictive value of a test with a random level of performance.
</t>
        </r>
      </text>
    </comment>
    <comment ref="A16" authorId="0">
      <text>
        <r>
          <rPr>
            <sz val="8"/>
            <rFont val="Tahoma"/>
            <family val="2"/>
          </rPr>
          <t>Proportion of observations positive on the test but negative on the criterion.</t>
        </r>
      </text>
    </comment>
    <comment ref="A17" authorId="0">
      <text>
        <r>
          <rPr>
            <sz val="8"/>
            <rFont val="Tahoma"/>
            <family val="0"/>
          </rPr>
          <t xml:space="preserve">Proportion of observations negative on the test but positive on the criterion.
</t>
        </r>
      </text>
    </comment>
    <comment ref="A18" authorId="0">
      <text>
        <r>
          <rPr>
            <sz val="8"/>
            <rFont val="Tahoma"/>
            <family val="0"/>
          </rPr>
          <t xml:space="preserve">Overall proportion of observations misclassified by the test
</t>
        </r>
      </text>
    </comment>
    <comment ref="A19" authorId="0">
      <text>
        <r>
          <rPr>
            <sz val="8"/>
            <rFont val="Tahoma"/>
            <family val="0"/>
          </rPr>
          <t xml:space="preserve">Proportion of observations positive on the criterion
</t>
        </r>
      </text>
    </comment>
    <comment ref="A20" authorId="0">
      <text>
        <r>
          <rPr>
            <sz val="8"/>
            <rFont val="Tahoma"/>
            <family val="0"/>
          </rPr>
          <t xml:space="preserve">Proportion of observations positive on the test.
</t>
        </r>
      </text>
    </comment>
    <comment ref="A22" authorId="0">
      <text>
        <r>
          <rPr>
            <sz val="8"/>
            <rFont val="Tahoma"/>
            <family val="0"/>
          </rPr>
          <t xml:space="preserve">Likelihood or risk ratio of a positive test.
</t>
        </r>
      </text>
    </comment>
    <comment ref="A23" authorId="0">
      <text>
        <r>
          <rPr>
            <sz val="8"/>
            <rFont val="Tahoma"/>
            <family val="2"/>
          </rPr>
          <t>Likelihood or risk ratio of a negative test.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sz val="8"/>
            <rFont val="Tahoma"/>
            <family val="0"/>
          </rPr>
          <t>Overall odds ratio of the test.</t>
        </r>
      </text>
    </comment>
    <comment ref="A26" authorId="0">
      <text>
        <r>
          <rPr>
            <sz val="8"/>
            <rFont val="Tahoma"/>
            <family val="0"/>
          </rPr>
          <t>This estimator of the odds ratio and it's standard error have desirable properties, particularly when cell frequencies are zero or small.</t>
        </r>
      </text>
    </comment>
    <comment ref="A29" authorId="0">
      <text>
        <r>
          <rPr>
            <sz val="8"/>
            <rFont val="Tahoma"/>
            <family val="0"/>
          </rPr>
          <t xml:space="preserve">Chance corrected index of agreement.
</t>
        </r>
      </text>
    </comment>
    <comment ref="A30" authorId="0">
      <text>
        <r>
          <rPr>
            <sz val="8"/>
            <rFont val="Tahoma"/>
            <family val="0"/>
          </rPr>
          <t xml:space="preserve">Observed proportion of observations in agreement whether positive or negative.
</t>
        </r>
      </text>
    </comment>
    <comment ref="A31" authorId="0">
      <text>
        <r>
          <rPr>
            <sz val="8"/>
            <rFont val="Tahoma"/>
            <family val="0"/>
          </rPr>
          <t xml:space="preserve">Proportion of observations expected to agree by chance alone.
</t>
        </r>
      </text>
    </comment>
    <comment ref="A33" authorId="0">
      <text>
        <r>
          <rPr>
            <sz val="8"/>
            <rFont val="Tahoma"/>
            <family val="0"/>
          </rPr>
          <t xml:space="preserve">Index of agreement for positive observations only.
</t>
        </r>
      </text>
    </comment>
    <comment ref="A34" authorId="0">
      <text>
        <r>
          <rPr>
            <sz val="8"/>
            <rFont val="Tahoma"/>
            <family val="0"/>
          </rPr>
          <t xml:space="preserve">Index of agreement for negative observations only.
</t>
        </r>
      </text>
    </comment>
    <comment ref="A36" authorId="0">
      <text>
        <r>
          <rPr>
            <sz val="8"/>
            <rFont val="Tahoma"/>
            <family val="0"/>
          </rPr>
          <t xml:space="preserve">Index of the differential tendency of raters to judge observations as being positive.
</t>
        </r>
      </text>
    </comment>
    <comment ref="A37" authorId="0">
      <text>
        <r>
          <rPr>
            <sz val="8"/>
            <rFont val="Tahoma"/>
            <family val="2"/>
          </rPr>
          <t>Index of the relative prevalence of positive to negative observations.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sz val="8"/>
            <rFont val="Tahoma"/>
            <family val="0"/>
          </rPr>
          <t>Kappa adjusted to take into account differences in perceived prevalence of the disorder.</t>
        </r>
      </text>
    </comment>
    <comment ref="A39" authorId="0">
      <text>
        <r>
          <rPr>
            <sz val="8"/>
            <rFont val="Tahoma"/>
            <family val="0"/>
          </rPr>
          <t>Kappa adjusted to take account of differences in perceived prevalence and the relative frequency of positive and negative observations.</t>
        </r>
      </text>
    </comment>
    <comment ref="A41" authorId="0">
      <text>
        <r>
          <rPr>
            <sz val="8"/>
            <rFont val="Tahoma"/>
            <family val="0"/>
          </rPr>
          <t>An index of agreement that is concerned only with positive observations.</t>
        </r>
      </text>
    </comment>
    <comment ref="A42" authorId="0">
      <text>
        <r>
          <rPr>
            <sz val="8"/>
            <rFont val="Tahoma"/>
            <family val="0"/>
          </rPr>
          <t>The index of association proposed by Yule.  Gamma is an n by n generalization.</t>
        </r>
      </text>
    </comment>
    <comment ref="A43" authorId="0">
      <text>
        <r>
          <rPr>
            <sz val="8"/>
            <rFont val="Tahoma"/>
            <family val="0"/>
          </rPr>
          <t>An index of association formed by normalizing the chi-square value. Equal to the correlation of the two binary variables.</t>
        </r>
      </text>
    </comment>
    <comment ref="A44" authorId="0">
      <text>
        <r>
          <rPr>
            <sz val="8"/>
            <rFont val="Tahoma"/>
            <family val="0"/>
          </rPr>
          <t xml:space="preserve">An index of interrater agreement proposed by Scott. See also BAK. </t>
        </r>
      </text>
    </comment>
    <comment ref="A45" authorId="0">
      <text>
        <r>
          <rPr>
            <sz val="8"/>
            <rFont val="Tahoma"/>
            <family val="0"/>
          </rPr>
          <t xml:space="preserve">Approximation to the tetrachoric correlation coefficient calculated using the cosine-pi method.
</t>
        </r>
      </text>
    </comment>
    <comment ref="A49" authorId="0">
      <text>
        <r>
          <rPr>
            <sz val="8"/>
            <rFont val="Tahoma"/>
            <family val="0"/>
          </rPr>
          <t>An information theory based index of reduction in uncertainty of one variable given knowledge of the other.</t>
        </r>
      </text>
    </comment>
    <comment ref="A50" authorId="0">
      <text>
        <r>
          <rPr>
            <sz val="8"/>
            <rFont val="Tahoma"/>
            <family val="0"/>
          </rPr>
          <t xml:space="preserve">An information theory based index of reduction in uncertainty in the criterion given knowledge of the test result.
</t>
        </r>
      </text>
    </comment>
    <comment ref="A47" authorId="0">
      <text>
        <r>
          <rPr>
            <sz val="8"/>
            <rFont val="Tahoma"/>
            <family val="0"/>
          </rPr>
          <t xml:space="preserve">A measure of predictive association between the test and the criterion.
</t>
        </r>
      </text>
    </comment>
    <comment ref="A48" authorId="0">
      <text>
        <r>
          <rPr>
            <sz val="8"/>
            <rFont val="Tahoma"/>
            <family val="0"/>
          </rPr>
          <t>A measure of the success with which knowledge of the test result may be used to predict the criterion.</t>
        </r>
      </text>
    </comment>
    <comment ref="A24" authorId="0">
      <text>
        <r>
          <rPr>
            <sz val="9"/>
            <rFont val="Tahoma"/>
            <family val="2"/>
          </rPr>
          <t>Inverse of the likelihood or risk ratio of a negative test.  [12,1]</t>
        </r>
      </text>
    </comment>
  </commentList>
</comments>
</file>

<file path=xl/comments3.xml><?xml version="1.0" encoding="utf-8"?>
<comments xmlns="http://schemas.openxmlformats.org/spreadsheetml/2006/main">
  <authors>
    <author>Andrew Mackinnon</author>
  </authors>
  <commentList>
    <comment ref="A29" authorId="0">
      <text>
        <r>
          <rPr>
            <sz val="8"/>
            <rFont val="Tahoma"/>
            <family val="0"/>
          </rPr>
          <t>Proportion of observations positive on the criterion
  [12,14]</t>
        </r>
      </text>
    </comment>
    <comment ref="A12" authorId="0">
      <text>
        <r>
          <rPr>
            <sz val="8"/>
            <rFont val="Tahoma"/>
            <family val="2"/>
          </rPr>
          <t>Proportion of true positives classified as positive by the test.  [12,14]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Proportion of true negatives classified as negative by the test.  [12,14]
</t>
        </r>
      </text>
    </comment>
    <comment ref="A30" authorId="0">
      <text>
        <r>
          <rPr>
            <sz val="8"/>
            <rFont val="Tahoma"/>
            <family val="0"/>
          </rPr>
          <t>Proportion of observations positive on the test. [12,14]</t>
        </r>
      </text>
    </comment>
    <comment ref="A26" authorId="0">
      <text>
        <r>
          <rPr>
            <sz val="8"/>
            <rFont val="Tahoma"/>
            <family val="2"/>
          </rPr>
          <t>Proportion of observations positive on the test but negative on the criterion.   [12,14]</t>
        </r>
      </text>
    </comment>
    <comment ref="A27" authorId="0">
      <text>
        <r>
          <rPr>
            <sz val="8"/>
            <rFont val="Tahoma"/>
            <family val="0"/>
          </rPr>
          <t xml:space="preserve">Proportion of observations negative on the test but positive on the criterion.  [12,14]
</t>
        </r>
      </text>
    </comment>
    <comment ref="A18" authorId="0">
      <text>
        <r>
          <rPr>
            <sz val="8"/>
            <rFont val="Tahoma"/>
            <family val="2"/>
          </rPr>
          <t>Proportion of positives and negatives classified correctly by the test.  [12,14]</t>
        </r>
        <r>
          <rPr>
            <b/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sz val="8"/>
            <rFont val="Tahoma"/>
            <family val="0"/>
          </rPr>
          <t xml:space="preserve">Specificity that would be expected by chance alone.  [12]
</t>
        </r>
      </text>
    </comment>
    <comment ref="A13" authorId="0">
      <text>
        <r>
          <rPr>
            <sz val="8"/>
            <rFont val="Tahoma"/>
            <family val="0"/>
          </rPr>
          <t xml:space="preserve">Sensitivity that would be expected by chance alone.  [12]
</t>
        </r>
      </text>
    </comment>
    <comment ref="A20" authorId="0">
      <text>
        <r>
          <rPr>
            <sz val="8"/>
            <rFont val="Tahoma"/>
            <family val="0"/>
          </rPr>
          <t xml:space="preserve">Chance corrected index of agreement for both positive and negative observations. (Cohen's Kappa).   [12,10]
</t>
        </r>
      </text>
    </comment>
    <comment ref="A19" authorId="0">
      <text>
        <r>
          <rPr>
            <sz val="8"/>
            <rFont val="Tahoma"/>
            <family val="0"/>
          </rPr>
          <t xml:space="preserve">Correct classification rate that would be expected by chance alone.  [12]
</t>
        </r>
      </text>
    </comment>
    <comment ref="A28" authorId="0">
      <text>
        <r>
          <rPr>
            <sz val="8"/>
            <rFont val="Tahoma"/>
            <family val="0"/>
          </rPr>
          <t xml:space="preserve">Overall proportion of observations misclassified by the test
</t>
        </r>
      </text>
    </comment>
    <comment ref="A22" authorId="0">
      <text>
        <r>
          <rPr>
            <sz val="8"/>
            <rFont val="Tahoma"/>
            <family val="0"/>
          </rPr>
          <t xml:space="preserve">Probability that an observation with a positive test will be positive on the criterion.  [12,14]
</t>
        </r>
      </text>
    </comment>
    <comment ref="A24" authorId="0">
      <text>
        <r>
          <rPr>
            <sz val="8"/>
            <rFont val="Tahoma"/>
            <family val="0"/>
          </rPr>
          <t xml:space="preserve">Probability that an observation with a negative test will be negative on the criterion.  [12,14]
</t>
        </r>
      </text>
    </comment>
    <comment ref="A17" authorId="0">
      <text>
        <r>
          <rPr>
            <sz val="8"/>
            <rFont val="Tahoma"/>
            <family val="2"/>
          </rPr>
          <t>Chance corrected index of specificity.  [12]</t>
        </r>
      </text>
    </comment>
    <comment ref="A14" authorId="0">
      <text>
        <r>
          <rPr>
            <sz val="8"/>
            <rFont val="Tahoma"/>
            <family val="0"/>
          </rPr>
          <t xml:space="preserve">Chance corrected index of sensitivity.  [12]
</t>
        </r>
      </text>
    </comment>
    <comment ref="A21" authorId="0">
      <text>
        <r>
          <rPr>
            <sz val="8"/>
            <rFont val="Tahoma"/>
            <family val="0"/>
          </rPr>
          <t xml:space="preserve">Omnibus index of sensitivity and specificity. Assumes that false positives and false negatives are equally important. [2,*]
</t>
        </r>
      </text>
    </comment>
    <comment ref="A39" authorId="0">
      <text>
        <r>
          <rPr>
            <sz val="8"/>
            <rFont val="Tahoma"/>
            <family val="0"/>
          </rPr>
          <t xml:space="preserve">Chance corrected index of agreement. [1,10]
</t>
        </r>
      </text>
    </comment>
    <comment ref="A42" authorId="0">
      <text>
        <r>
          <rPr>
            <sz val="8"/>
            <rFont val="Tahoma"/>
            <family val="0"/>
          </rPr>
          <t xml:space="preserve">Observed proportion of observations in agreement whether positive or negative. [1]
</t>
        </r>
      </text>
    </comment>
    <comment ref="A57" authorId="0">
      <text>
        <r>
          <rPr>
            <sz val="8"/>
            <rFont val="Tahoma"/>
            <family val="0"/>
          </rPr>
          <t xml:space="preserve">Approximation to the tetrachoric correlation coefficient calculated using the cosine-pi method. [8]
</t>
        </r>
      </text>
    </comment>
    <comment ref="A43" authorId="0">
      <text>
        <r>
          <rPr>
            <sz val="8"/>
            <rFont val="Tahoma"/>
            <family val="0"/>
          </rPr>
          <t xml:space="preserve">Proportion of observations expected to agree by chance alone. [1]
</t>
        </r>
      </text>
    </comment>
    <comment ref="A45" authorId="0">
      <text>
        <r>
          <rPr>
            <sz val="8"/>
            <rFont val="Tahoma"/>
            <family val="0"/>
          </rPr>
          <t>Index of agreement for positive observations only.
[7,*]</t>
        </r>
      </text>
    </comment>
    <comment ref="A46" authorId="0">
      <text>
        <r>
          <rPr>
            <sz val="8"/>
            <rFont val="Tahoma"/>
            <family val="0"/>
          </rPr>
          <t>Index of agreement for negative observations only.
[7,*]</t>
        </r>
      </text>
    </comment>
    <comment ref="A23" authorId="0">
      <text>
        <r>
          <rPr>
            <sz val="8"/>
            <rFont val="Tahoma"/>
            <family val="0"/>
          </rPr>
          <t xml:space="preserve">Predictive value of a test with a random level of performance. [*]
</t>
        </r>
      </text>
    </comment>
    <comment ref="A25" authorId="0">
      <text>
        <r>
          <rPr>
            <sz val="8"/>
            <rFont val="Tahoma"/>
            <family val="0"/>
          </rPr>
          <t xml:space="preserve">Predictive value of a test with a random level of performance. [*]
</t>
        </r>
      </text>
    </comment>
    <comment ref="A48" authorId="0">
      <text>
        <r>
          <rPr>
            <sz val="8"/>
            <rFont val="Tahoma"/>
            <family val="0"/>
          </rPr>
          <t xml:space="preserve">Index of the differential tendency of raters to judge observations as being positive. [6]
</t>
        </r>
      </text>
    </comment>
    <comment ref="A49" authorId="0">
      <text>
        <r>
          <rPr>
            <sz val="8"/>
            <rFont val="Tahoma"/>
            <family val="2"/>
          </rPr>
          <t>Index of the relative prevalence of positive to negative observations.  [6]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>Kappa adjusted to take into account differences in perceived prevalence of the disorder. [6]</t>
        </r>
      </text>
    </comment>
    <comment ref="A51" authorId="0">
      <text>
        <r>
          <rPr>
            <sz val="8"/>
            <rFont val="Tahoma"/>
            <family val="0"/>
          </rPr>
          <t>Kappa adjusted to take account of differences in perceived prevalence and the relative frequency of positive and negative observations.  [6]</t>
        </r>
      </text>
    </comment>
    <comment ref="A53" authorId="0">
      <text>
        <r>
          <rPr>
            <sz val="8"/>
            <rFont val="Tahoma"/>
            <family val="0"/>
          </rPr>
          <t>An index of agreement that is concerned only with positive observations. [1]</t>
        </r>
      </text>
    </comment>
    <comment ref="A54" authorId="0">
      <text>
        <r>
          <rPr>
            <sz val="8"/>
            <rFont val="Tahoma"/>
            <family val="0"/>
          </rPr>
          <t>The index of association proposed by Yule.  Gamma is an n by n generalization. [3]</t>
        </r>
      </text>
    </comment>
    <comment ref="A55" authorId="0">
      <text>
        <r>
          <rPr>
            <sz val="8"/>
            <rFont val="Tahoma"/>
            <family val="0"/>
          </rPr>
          <t>An index of association formed by normalizing the chi-square value. Equal to the correlation of the two binary variables. [3]</t>
        </r>
      </text>
    </comment>
    <comment ref="A56" authorId="0">
      <text>
        <r>
          <rPr>
            <sz val="8"/>
            <rFont val="Tahoma"/>
            <family val="0"/>
          </rPr>
          <t>An index of interrater agreement proposed by Scott. See also BAK. [6]</t>
        </r>
      </text>
    </comment>
    <comment ref="A61" authorId="0">
      <text>
        <r>
          <rPr>
            <sz val="8"/>
            <rFont val="Tahoma"/>
            <family val="0"/>
          </rPr>
          <t>An information theory based index of reduction in uncertainty of one variable given knowledge of the other. [1]</t>
        </r>
      </text>
    </comment>
    <comment ref="A62" authorId="0">
      <text>
        <r>
          <rPr>
            <sz val="8"/>
            <rFont val="Tahoma"/>
            <family val="0"/>
          </rPr>
          <t xml:space="preserve">An information theory based index of reduction in uncertainty in the criterion given knowledge of the test result. [1]
</t>
        </r>
      </text>
    </comment>
    <comment ref="A36" authorId="0">
      <text>
        <r>
          <rPr>
            <sz val="8"/>
            <rFont val="Tahoma"/>
            <family val="0"/>
          </rPr>
          <t>This estimator of the odds ratio and it's standard error have desirable properties, particularly when cell frequencies are zero or small. [1,1]</t>
        </r>
      </text>
    </comment>
    <comment ref="A35" authorId="0">
      <text>
        <r>
          <rPr>
            <sz val="8"/>
            <rFont val="Tahoma"/>
            <family val="0"/>
          </rPr>
          <t>Overall odds ratio of the test. [12,1]</t>
        </r>
      </text>
    </comment>
    <comment ref="A32" authorId="0">
      <text>
        <r>
          <rPr>
            <sz val="8"/>
            <rFont val="Tahoma"/>
            <family val="0"/>
          </rPr>
          <t xml:space="preserve">Likelihood or risk ratio of a positive test.   [12,1]
</t>
        </r>
      </text>
    </comment>
    <comment ref="A33" authorId="0">
      <text>
        <r>
          <rPr>
            <sz val="8"/>
            <rFont val="Tahoma"/>
            <family val="2"/>
          </rPr>
          <t>Likelihood or risk ratio of a negative test.  [12,1]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sz val="8"/>
            <rFont val="Tahoma"/>
            <family val="0"/>
          </rPr>
          <t xml:space="preserve">A measure of predictive association between the test and the criterion. [3]
</t>
        </r>
      </text>
    </comment>
    <comment ref="A60" authorId="0">
      <text>
        <r>
          <rPr>
            <sz val="8"/>
            <rFont val="Tahoma"/>
            <family val="0"/>
          </rPr>
          <t>A measure of the success with which knowledge of the test result may be used to predict the criterion. [3]</t>
        </r>
      </text>
    </comment>
    <comment ref="A58" authorId="0">
      <text>
        <r>
          <rPr>
            <sz val="8"/>
            <rFont val="Tahoma"/>
            <family val="0"/>
          </rPr>
          <t xml:space="preserve">A measure of the proportional reduction in error of in prediction of the criterion if the test result is known. [1]
</t>
        </r>
      </text>
    </comment>
    <comment ref="A34" authorId="0">
      <text>
        <r>
          <rPr>
            <sz val="9"/>
            <rFont val="Tahoma"/>
            <family val="2"/>
          </rPr>
          <t>Inverse of the likelihood or risk ratio of a negative test.  [12,1]</t>
        </r>
      </text>
    </comment>
  </commentList>
</comments>
</file>

<file path=xl/sharedStrings.xml><?xml version="1.0" encoding="utf-8"?>
<sst xmlns="http://schemas.openxmlformats.org/spreadsheetml/2006/main" count="253" uniqueCount="124">
  <si>
    <t>Diagnostic &amp; Agreement Statistics</t>
  </si>
  <si>
    <t>Test</t>
  </si>
  <si>
    <t>Positive</t>
  </si>
  <si>
    <t>Negative</t>
  </si>
  <si>
    <t>Confidence Intervals</t>
  </si>
  <si>
    <t>No. Decimal Places</t>
  </si>
  <si>
    <t>Index</t>
  </si>
  <si>
    <t>Symbol</t>
  </si>
  <si>
    <t>Estimate</t>
  </si>
  <si>
    <t>se</t>
  </si>
  <si>
    <t>Sensitivity</t>
  </si>
  <si>
    <t>SE</t>
  </si>
  <si>
    <t>Quality index of sensitivity</t>
  </si>
  <si>
    <t>Specificity</t>
  </si>
  <si>
    <t>SP</t>
  </si>
  <si>
    <t>Quality index of specificity</t>
  </si>
  <si>
    <t>False positive rate</t>
  </si>
  <si>
    <t>FP</t>
  </si>
  <si>
    <t>FN</t>
  </si>
  <si>
    <t>Efficiency (Correct classification rate)</t>
  </si>
  <si>
    <t>EFF</t>
  </si>
  <si>
    <t>Efficiency of a random test</t>
  </si>
  <si>
    <t>EFF_RAN</t>
  </si>
  <si>
    <t>Misclassification rate</t>
  </si>
  <si>
    <t>1-EFF</t>
  </si>
  <si>
    <t>Predictive value of positive test</t>
  </si>
  <si>
    <t>PVP</t>
  </si>
  <si>
    <t>Predictive value of negative test</t>
  </si>
  <si>
    <t>PVN</t>
  </si>
  <si>
    <t>Prevalence</t>
  </si>
  <si>
    <t>P</t>
  </si>
  <si>
    <t>Test level</t>
  </si>
  <si>
    <t>Q</t>
  </si>
  <si>
    <t>Odds ratio</t>
  </si>
  <si>
    <t>OR</t>
  </si>
  <si>
    <t>OR'</t>
  </si>
  <si>
    <t>LR+</t>
  </si>
  <si>
    <t>LR-</t>
  </si>
  <si>
    <t>Kappa and Related Indices</t>
  </si>
  <si>
    <t>Cohen’s Kappa</t>
  </si>
  <si>
    <t>k</t>
  </si>
  <si>
    <t>Observed Agreement</t>
  </si>
  <si>
    <t>PO</t>
  </si>
  <si>
    <t>Chance Agreement</t>
  </si>
  <si>
    <t>PE</t>
  </si>
  <si>
    <t>PA</t>
  </si>
  <si>
    <t>Negative Agreement</t>
  </si>
  <si>
    <t>NA</t>
  </si>
  <si>
    <t>BI</t>
  </si>
  <si>
    <t>PI</t>
  </si>
  <si>
    <t>Bias Adjusted Kappa</t>
  </si>
  <si>
    <t>BAK</t>
  </si>
  <si>
    <t>Prevalence &amp; Bias Adjusted Kappa</t>
  </si>
  <si>
    <t>PABAK</t>
  </si>
  <si>
    <t>Alternative Agreement Indices</t>
  </si>
  <si>
    <t>p(s)</t>
  </si>
  <si>
    <t>g</t>
  </si>
  <si>
    <t>Phi</t>
  </si>
  <si>
    <t>f</t>
  </si>
  <si>
    <t>p</t>
  </si>
  <si>
    <t>U(sym)</t>
  </si>
  <si>
    <t>U(asy)</t>
  </si>
  <si>
    <t>r(t)</t>
  </si>
  <si>
    <t>Chi Square</t>
  </si>
  <si>
    <t>Pearson Chi Square</t>
  </si>
  <si>
    <t xml:space="preserve">    with Yate’s correction</t>
  </si>
  <si>
    <t>Likelihood Ratio Chi Square</t>
  </si>
  <si>
    <t>Minimum Expected Frequency</t>
  </si>
  <si>
    <t>Cells with Expected Frequency &lt; 5</t>
  </si>
  <si>
    <t>Cells with Expected Frequency &lt; 1</t>
  </si>
  <si>
    <t>McNemar’s Test</t>
  </si>
  <si>
    <t>Sensitivity of a random test</t>
  </si>
  <si>
    <t>SE_RAN</t>
  </si>
  <si>
    <t>Specificity of a random test</t>
  </si>
  <si>
    <t>SP_RAN</t>
  </si>
  <si>
    <t>Positive Agreement</t>
  </si>
  <si>
    <t>Quality index</t>
  </si>
  <si>
    <t>False negative rate</t>
  </si>
  <si>
    <t>J</t>
  </si>
  <si>
    <t>Pred. value of a positive random test</t>
  </si>
  <si>
    <t>Pred. value of a negative random test</t>
  </si>
  <si>
    <t>PVP_RAN</t>
  </si>
  <si>
    <t>PVN_RAN</t>
  </si>
  <si>
    <t>Tetrachoric Correlation</t>
  </si>
  <si>
    <t>Youden’s index</t>
  </si>
  <si>
    <t>Odds ratio (Haldane’s estimator)</t>
  </si>
  <si>
    <t>Byrt’s Bias Index</t>
  </si>
  <si>
    <t>Dice’s Index</t>
  </si>
  <si>
    <t>Gamma (Yule’s Q)</t>
  </si>
  <si>
    <t>Scott’s agreement index</t>
  </si>
  <si>
    <t>Likelihood ratio of positive test</t>
  </si>
  <si>
    <t>Likelihood ratio of negative test</t>
  </si>
  <si>
    <t>Byrt’s Prevalence Asymmetry Index</t>
  </si>
  <si>
    <t>Uncertainty Coefficient (Symmetric)</t>
  </si>
  <si>
    <t>Uncertainty Coeff. (Criterion dep.)</t>
  </si>
  <si>
    <r>
      <t>k</t>
    </r>
    <r>
      <rPr>
        <sz val="10"/>
        <rFont val="Arial"/>
        <family val="2"/>
      </rPr>
      <t>(1,0)</t>
    </r>
  </si>
  <si>
    <r>
      <t>k</t>
    </r>
    <r>
      <rPr>
        <sz val="10"/>
        <rFont val="Arial"/>
        <family val="2"/>
      </rPr>
      <t>(0,0)</t>
    </r>
  </si>
  <si>
    <r>
      <t>k</t>
    </r>
    <r>
      <rPr>
        <sz val="10"/>
        <rFont val="Arial"/>
        <family val="2"/>
      </rPr>
      <t>(.5,0)</t>
    </r>
  </si>
  <si>
    <r>
      <t>l</t>
    </r>
    <r>
      <rPr>
        <sz val="10"/>
        <rFont val="Arial"/>
        <family val="2"/>
      </rPr>
      <t>(sym)</t>
    </r>
  </si>
  <si>
    <r>
      <t>l</t>
    </r>
    <r>
      <rPr>
        <sz val="10"/>
        <rFont val="Arial"/>
        <family val="2"/>
      </rPr>
      <t>(asy)</t>
    </r>
  </si>
  <si>
    <t>Lambda(Criterion dep.)</t>
  </si>
  <si>
    <t>Lambda(Symmetric)</t>
  </si>
  <si>
    <t>Summary</t>
  </si>
  <si>
    <t>s.e.</t>
  </si>
  <si>
    <t>Kraemer (1992)</t>
  </si>
  <si>
    <t>Armitage &amp; Berry (1994)</t>
  </si>
  <si>
    <t>*</t>
  </si>
  <si>
    <t>Agresti (1991)</t>
  </si>
  <si>
    <t>Cicchetti &amp; Feinstein (1990)</t>
  </si>
  <si>
    <t>Byrt et al. (1993)</t>
  </si>
  <si>
    <t>MacKenzie et al. (1997)</t>
  </si>
  <si>
    <t>—</t>
  </si>
  <si>
    <t>Digby (1983)</t>
  </si>
  <si>
    <t>Bishop et al. (1975)</t>
  </si>
  <si>
    <r>
      <t>t</t>
    </r>
    <r>
      <rPr>
        <sz val="10"/>
        <rFont val="Arial"/>
        <family val="2"/>
      </rPr>
      <t>(asy)</t>
    </r>
  </si>
  <si>
    <t>Goodman &amp; Kruskal’s tau (Crit. dep.)</t>
  </si>
  <si>
    <t>Yule’s Q (Gamma)</t>
  </si>
  <si>
    <t>Alternative Indices of Association</t>
  </si>
  <si>
    <t>Brown (1975)</t>
  </si>
  <si>
    <t>Principal Reference</t>
  </si>
  <si>
    <t>* These indices or standard errors were developed by the author.</t>
  </si>
  <si>
    <t>Criterion</t>
  </si>
  <si>
    <t>INV_LR-</t>
  </si>
  <si>
    <t>Inverse of the likelihood ratio of negative test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</si>
</sst>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\ "/>
    <numFmt numFmtId="173" formatCode="0.0000"/>
    <numFmt numFmtId="174" formatCode=";;;"/>
    <numFmt numFmtId="175" formatCode="&quot;[&quot;General&quot;]&quot;"/>
    <numFmt numFmtId="176" formatCode="\N\ \=\ 0"/>
    <numFmt numFmtId="177" formatCode="&quot;[&quot;@&quot;]&quot;"/>
    <numFmt numFmtId="178" formatCode="&quot;[&quot;#&quot;]&quot;;&quot;[&quot;@&quot;]&quot;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"/>
    <numFmt numFmtId="185" formatCode="0.000E+00;\ĝ"/>
    <numFmt numFmtId="186" formatCode="0.000E+00;\蕈"/>
    <numFmt numFmtId="187" formatCode="0.00E+00;\蕈"/>
    <numFmt numFmtId="188" formatCode="0.0000E+00;\蕈"/>
    <numFmt numFmtId="189" formatCode="0.00000E+00;\蕈"/>
    <numFmt numFmtId="190" formatCode="0.000000E+00;\蕈"/>
    <numFmt numFmtId="191" formatCode="0.000E+00;\ⱄ"/>
    <numFmt numFmtId="192" formatCode="0.000E+00;\坰"/>
    <numFmt numFmtId="193" formatCode="0.0000E+00;\坰"/>
    <numFmt numFmtId="194" formatCode="0.00E+00;\坰"/>
    <numFmt numFmtId="195" formatCode="0.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i/>
      <sz val="12"/>
      <name val="Tms Rmn"/>
      <family val="0"/>
    </font>
    <font>
      <sz val="12"/>
      <name val="Tms Rmn"/>
      <family val="0"/>
    </font>
    <font>
      <sz val="12"/>
      <name val="Symbol"/>
      <family val="0"/>
    </font>
    <font>
      <b/>
      <sz val="10"/>
      <color indexed="10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9"/>
      <name val="Tahoma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horizontal="left" wrapText="1"/>
      <protection/>
    </xf>
  </cellStyleXfs>
  <cellXfs count="162">
    <xf numFmtId="0" fontId="0" fillId="0" borderId="0" xfId="0" applyAlignment="1">
      <alignment/>
    </xf>
    <xf numFmtId="0" fontId="5" fillId="0" borderId="0" xfId="19" applyFont="1" applyProtection="1">
      <alignment/>
      <protection/>
    </xf>
    <xf numFmtId="0" fontId="5" fillId="0" borderId="0" xfId="19" applyFont="1" applyBorder="1" applyProtection="1">
      <alignment/>
      <protection/>
    </xf>
    <xf numFmtId="173" fontId="5" fillId="0" borderId="0" xfId="19" applyNumberFormat="1" applyFont="1" applyBorder="1" applyProtection="1">
      <alignment/>
      <protection/>
    </xf>
    <xf numFmtId="0" fontId="0" fillId="0" borderId="1" xfId="19" applyFont="1" applyFill="1" applyBorder="1" applyAlignment="1" applyProtection="1">
      <alignment horizontal="centerContinuous"/>
      <protection/>
    </xf>
    <xf numFmtId="0" fontId="0" fillId="0" borderId="0" xfId="19" applyFont="1" applyFill="1" applyBorder="1" applyAlignment="1" applyProtection="1">
      <alignment horizontal="centerContinuous"/>
      <protection/>
    </xf>
    <xf numFmtId="0" fontId="7" fillId="0" borderId="2" xfId="19" applyFont="1" applyFill="1" applyBorder="1" applyAlignment="1" applyProtection="1">
      <alignment horizontal="left"/>
      <protection/>
    </xf>
    <xf numFmtId="0" fontId="0" fillId="0" borderId="2" xfId="19" applyFont="1" applyFill="1" applyBorder="1" applyAlignment="1" applyProtection="1">
      <alignment horizontal="centerContinuous"/>
      <protection/>
    </xf>
    <xf numFmtId="0" fontId="0" fillId="0" borderId="3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10" fillId="0" borderId="0" xfId="19" applyFont="1" applyProtection="1">
      <alignment/>
      <protection/>
    </xf>
    <xf numFmtId="0" fontId="11" fillId="0" borderId="1" xfId="19" applyFont="1" applyFill="1" applyBorder="1" applyAlignment="1" applyProtection="1">
      <alignment horizontal="centerContinuous"/>
      <protection/>
    </xf>
    <xf numFmtId="173" fontId="10" fillId="0" borderId="0" xfId="19" applyNumberFormat="1" applyFont="1" applyProtection="1">
      <alignment/>
      <protection/>
    </xf>
    <xf numFmtId="0" fontId="12" fillId="0" borderId="2" xfId="19" applyFont="1" applyFill="1" applyBorder="1" applyAlignment="1" applyProtection="1">
      <alignment/>
      <protection/>
    </xf>
    <xf numFmtId="0" fontId="13" fillId="0" borderId="2" xfId="19" applyFont="1" applyBorder="1" applyAlignment="1">
      <alignment horizontal="center"/>
      <protection/>
    </xf>
    <xf numFmtId="173" fontId="13" fillId="0" borderId="2" xfId="19" applyNumberFormat="1" applyFont="1" applyFill="1" applyBorder="1" applyAlignment="1" applyProtection="1">
      <alignment horizontal="center"/>
      <protection/>
    </xf>
    <xf numFmtId="173" fontId="13" fillId="0" borderId="2" xfId="19" applyNumberFormat="1" applyFont="1" applyFill="1" applyBorder="1" applyAlignment="1" applyProtection="1">
      <alignment horizontal="centerContinuous"/>
      <protection/>
    </xf>
    <xf numFmtId="0" fontId="13" fillId="0" borderId="2" xfId="19" applyFont="1" applyFill="1" applyBorder="1" applyAlignment="1" applyProtection="1">
      <alignment horizontal="left"/>
      <protection/>
    </xf>
    <xf numFmtId="0" fontId="13" fillId="0" borderId="2" xfId="19" applyFont="1" applyFill="1" applyBorder="1" applyAlignment="1" applyProtection="1">
      <alignment horizontal="centerContinuous"/>
      <protection/>
    </xf>
    <xf numFmtId="0" fontId="13" fillId="0" borderId="0" xfId="19" applyFont="1" applyFill="1" applyBorder="1" applyAlignment="1" applyProtection="1">
      <alignment/>
      <protection/>
    </xf>
    <xf numFmtId="0" fontId="13" fillId="0" borderId="0" xfId="19" applyFont="1" applyAlignment="1">
      <alignment horizontal="center"/>
      <protection/>
    </xf>
    <xf numFmtId="173" fontId="13" fillId="0" borderId="0" xfId="19" applyNumberFormat="1" applyFont="1" applyFill="1" applyBorder="1" applyAlignment="1" applyProtection="1">
      <alignment horizontal="center"/>
      <protection/>
    </xf>
    <xf numFmtId="0" fontId="13" fillId="0" borderId="0" xfId="19" applyFont="1" applyFill="1" applyBorder="1" applyAlignment="1" applyProtection="1">
      <alignment horizontal="centerContinuous"/>
      <protection/>
    </xf>
    <xf numFmtId="0" fontId="13" fillId="0" borderId="0" xfId="19" applyFont="1" applyFill="1" applyBorder="1" applyAlignment="1">
      <alignment horizontal="center"/>
      <protection/>
    </xf>
    <xf numFmtId="173" fontId="13" fillId="0" borderId="0" xfId="19" applyNumberFormat="1" applyFont="1" applyFill="1" applyBorder="1" applyAlignment="1" applyProtection="1">
      <alignment horizontal="left"/>
      <protection/>
    </xf>
    <xf numFmtId="0" fontId="14" fillId="0" borderId="0" xfId="19" applyFont="1" applyProtection="1">
      <alignment/>
      <protection/>
    </xf>
    <xf numFmtId="0" fontId="16" fillId="0" borderId="4" xfId="19" applyFont="1" applyFill="1" applyBorder="1" applyAlignment="1" applyProtection="1">
      <alignment horizontal="center"/>
      <protection/>
    </xf>
    <xf numFmtId="0" fontId="16" fillId="0" borderId="4" xfId="19" applyFont="1" applyFill="1" applyBorder="1" applyAlignment="1">
      <alignment horizontal="center"/>
      <protection/>
    </xf>
    <xf numFmtId="0" fontId="14" fillId="0" borderId="0" xfId="19" applyNumberFormat="1" applyFont="1" applyProtection="1">
      <alignment/>
      <protection/>
    </xf>
    <xf numFmtId="2" fontId="13" fillId="0" borderId="0" xfId="19" applyNumberFormat="1" applyFont="1" applyFill="1" applyBorder="1" applyAlignment="1" applyProtection="1">
      <alignment/>
      <protection/>
    </xf>
    <xf numFmtId="173" fontId="13" fillId="0" borderId="0" xfId="19" applyNumberFormat="1" applyFont="1" applyFill="1" applyBorder="1" applyAlignment="1" applyProtection="1">
      <alignment/>
      <protection/>
    </xf>
    <xf numFmtId="0" fontId="13" fillId="0" borderId="0" xfId="19" applyFont="1" applyFill="1" applyBorder="1" applyAlignment="1">
      <alignment/>
      <protection/>
    </xf>
    <xf numFmtId="0" fontId="14" fillId="0" borderId="0" xfId="19" applyNumberFormat="1" applyFont="1">
      <alignment/>
      <protection/>
    </xf>
    <xf numFmtId="0" fontId="13" fillId="0" borderId="3" xfId="19" applyFont="1" applyFill="1" applyBorder="1" applyAlignment="1" applyProtection="1">
      <alignment/>
      <protection/>
    </xf>
    <xf numFmtId="2" fontId="13" fillId="0" borderId="3" xfId="19" applyNumberFormat="1" applyFont="1" applyFill="1" applyBorder="1" applyAlignment="1" applyProtection="1">
      <alignment/>
      <protection/>
    </xf>
    <xf numFmtId="173" fontId="13" fillId="0" borderId="3" xfId="19" applyNumberFormat="1" applyFont="1" applyFill="1" applyBorder="1" applyAlignment="1" applyProtection="1">
      <alignment/>
      <protection/>
    </xf>
    <xf numFmtId="2" fontId="15" fillId="0" borderId="0" xfId="19" applyNumberFormat="1" applyFont="1" applyFill="1" applyBorder="1" applyAlignment="1" applyProtection="1">
      <alignment/>
      <protection/>
    </xf>
    <xf numFmtId="173" fontId="15" fillId="0" borderId="0" xfId="19" applyNumberFormat="1" applyFont="1" applyFill="1" applyBorder="1" applyAlignment="1" applyProtection="1">
      <alignment/>
      <protection/>
    </xf>
    <xf numFmtId="1" fontId="13" fillId="0" borderId="0" xfId="19" applyNumberFormat="1" applyFont="1" applyFill="1" applyBorder="1" applyAlignment="1" applyProtection="1">
      <alignment/>
      <protection/>
    </xf>
    <xf numFmtId="0" fontId="13" fillId="0" borderId="0" xfId="19" applyFont="1" applyProtection="1">
      <alignment/>
      <protection/>
    </xf>
    <xf numFmtId="2" fontId="13" fillId="0" borderId="0" xfId="19" applyNumberFormat="1" applyFont="1" applyProtection="1">
      <alignment/>
      <protection/>
    </xf>
    <xf numFmtId="173" fontId="13" fillId="0" borderId="5" xfId="19" applyNumberFormat="1" applyFont="1" applyFill="1" applyBorder="1" applyAlignment="1" applyProtection="1">
      <alignment horizontal="center"/>
      <protection/>
    </xf>
    <xf numFmtId="0" fontId="13" fillId="0" borderId="1" xfId="19" applyFont="1" applyFill="1" applyBorder="1" applyAlignment="1" applyProtection="1">
      <alignment horizontal="centerContinuous"/>
      <protection/>
    </xf>
    <xf numFmtId="173" fontId="13" fillId="0" borderId="5" xfId="19" applyNumberFormat="1" applyFont="1" applyBorder="1" applyAlignment="1">
      <alignment horizontal="center"/>
      <protection/>
    </xf>
    <xf numFmtId="0" fontId="13" fillId="0" borderId="3" xfId="19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3" fillId="0" borderId="0" xfId="19" applyNumberFormat="1" applyFont="1" applyFill="1" applyBorder="1" applyAlignment="1" applyProtection="1">
      <alignment horizontal="left"/>
      <protection/>
    </xf>
    <xf numFmtId="0" fontId="13" fillId="0" borderId="0" xfId="19" applyNumberFormat="1" applyFont="1" applyFill="1" applyBorder="1" applyAlignment="1" applyProtection="1">
      <alignment horizontal="centerContinuous"/>
      <protection/>
    </xf>
    <xf numFmtId="173" fontId="13" fillId="0" borderId="0" xfId="19" applyNumberFormat="1" applyFont="1" applyFill="1" applyBorder="1" applyAlignment="1" applyProtection="1">
      <alignment horizontal="centerContinuous"/>
      <protection/>
    </xf>
    <xf numFmtId="173" fontId="13" fillId="0" borderId="6" xfId="19" applyNumberFormat="1" applyFont="1" applyFill="1" applyBorder="1" applyAlignment="1" applyProtection="1">
      <alignment horizontal="center"/>
      <protection/>
    </xf>
    <xf numFmtId="173" fontId="13" fillId="0" borderId="6" xfId="19" applyNumberFormat="1" applyFont="1" applyFill="1" applyBorder="1" applyAlignment="1" applyProtection="1">
      <alignment horizontal="centerContinuous"/>
      <protection/>
    </xf>
    <xf numFmtId="0" fontId="13" fillId="0" borderId="6" xfId="19" applyFont="1" applyFill="1" applyBorder="1" applyAlignment="1" applyProtection="1">
      <alignment horizontal="left"/>
      <protection/>
    </xf>
    <xf numFmtId="0" fontId="13" fillId="0" borderId="6" xfId="19" applyFont="1" applyFill="1" applyBorder="1" applyAlignment="1" applyProtection="1">
      <alignment horizontal="centerContinuous"/>
      <protection/>
    </xf>
    <xf numFmtId="0" fontId="13" fillId="0" borderId="0" xfId="19" applyFont="1" applyFill="1" applyBorder="1" applyAlignment="1" applyProtection="1">
      <alignment horizontal="left"/>
      <protection/>
    </xf>
    <xf numFmtId="174" fontId="13" fillId="0" borderId="0" xfId="19" applyNumberFormat="1" applyFont="1" applyFill="1" applyBorder="1" applyAlignment="1">
      <alignment horizontal="center"/>
      <protection/>
    </xf>
    <xf numFmtId="0" fontId="13" fillId="0" borderId="0" xfId="19" applyNumberFormat="1" applyFont="1" applyFill="1" applyBorder="1" applyAlignment="1">
      <alignment horizontal="center"/>
      <protection/>
    </xf>
    <xf numFmtId="0" fontId="12" fillId="0" borderId="1" xfId="19" applyFont="1" applyFill="1" applyBorder="1" applyAlignment="1" applyProtection="1">
      <alignment horizontal="centerContinuous"/>
      <protection/>
    </xf>
    <xf numFmtId="0" fontId="13" fillId="0" borderId="6" xfId="19" applyFont="1" applyFill="1" applyBorder="1" applyAlignment="1" applyProtection="1">
      <alignment/>
      <protection/>
    </xf>
    <xf numFmtId="0" fontId="13" fillId="0" borderId="6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18" fillId="0" borderId="0" xfId="19" applyFont="1" applyFill="1" applyAlignment="1" applyProtection="1">
      <alignment horizontal="centerContinuous"/>
      <protection/>
    </xf>
    <xf numFmtId="0" fontId="10" fillId="0" borderId="0" xfId="19" applyFont="1" applyFill="1" applyAlignment="1" applyProtection="1">
      <alignment horizontal="centerContinuous"/>
      <protection/>
    </xf>
    <xf numFmtId="0" fontId="19" fillId="0" borderId="0" xfId="19" applyFont="1" applyAlignment="1" applyProtection="1">
      <alignment horizontal="center"/>
      <protection/>
    </xf>
    <xf numFmtId="0" fontId="19" fillId="0" borderId="0" xfId="19" applyFont="1" applyAlignment="1" applyProtection="1">
      <alignment horizontal="center" vertical="center"/>
      <protection/>
    </xf>
    <xf numFmtId="10" fontId="10" fillId="0" borderId="7" xfId="19" applyNumberFormat="1" applyFont="1" applyBorder="1" applyAlignment="1" applyProtection="1">
      <alignment horizontal="center" vertical="center"/>
      <protection/>
    </xf>
    <xf numFmtId="10" fontId="10" fillId="0" borderId="8" xfId="19" applyNumberFormat="1" applyFont="1" applyBorder="1" applyAlignment="1" applyProtection="1">
      <alignment horizontal="center" vertical="center"/>
      <protection/>
    </xf>
    <xf numFmtId="176" fontId="10" fillId="0" borderId="9" xfId="19" applyNumberFormat="1" applyFont="1" applyBorder="1" applyAlignment="1" applyProtection="1">
      <alignment horizontal="center" vertical="center"/>
      <protection/>
    </xf>
    <xf numFmtId="172" fontId="20" fillId="0" borderId="0" xfId="19" applyNumberFormat="1" applyFont="1" applyBorder="1" applyProtection="1">
      <alignment/>
      <protection/>
    </xf>
    <xf numFmtId="10" fontId="10" fillId="0" borderId="10" xfId="19" applyNumberFormat="1" applyFont="1" applyBorder="1" applyAlignment="1" applyProtection="1">
      <alignment horizontal="center" vertical="center"/>
      <protection/>
    </xf>
    <xf numFmtId="10" fontId="10" fillId="0" borderId="3" xfId="19" applyNumberFormat="1" applyFont="1" applyBorder="1" applyAlignment="1" applyProtection="1">
      <alignment horizontal="center" vertical="center"/>
      <protection/>
    </xf>
    <xf numFmtId="172" fontId="22" fillId="2" borderId="11" xfId="19" applyNumberFormat="1" applyFont="1" applyFill="1" applyBorder="1" applyAlignment="1" applyProtection="1">
      <alignment horizontal="right" vertical="center"/>
      <protection locked="0"/>
    </xf>
    <xf numFmtId="172" fontId="22" fillId="2" borderId="12" xfId="19" applyNumberFormat="1" applyFont="1" applyFill="1" applyBorder="1" applyAlignment="1" applyProtection="1">
      <alignment horizontal="right" vertical="center"/>
      <protection locked="0"/>
    </xf>
    <xf numFmtId="172" fontId="20" fillId="0" borderId="7" xfId="19" applyNumberFormat="1" applyFont="1" applyBorder="1" applyAlignment="1" applyProtection="1">
      <alignment vertical="center"/>
      <protection/>
    </xf>
    <xf numFmtId="172" fontId="22" fillId="2" borderId="13" xfId="19" applyNumberFormat="1" applyFont="1" applyFill="1" applyBorder="1" applyAlignment="1" applyProtection="1">
      <alignment horizontal="right" vertical="center"/>
      <protection locked="0"/>
    </xf>
    <xf numFmtId="172" fontId="22" fillId="2" borderId="14" xfId="19" applyNumberFormat="1" applyFont="1" applyFill="1" applyBorder="1" applyAlignment="1" applyProtection="1">
      <alignment horizontal="right" vertical="center"/>
      <protection locked="0"/>
    </xf>
    <xf numFmtId="172" fontId="20" fillId="0" borderId="8" xfId="19" applyNumberFormat="1" applyFont="1" applyBorder="1" applyAlignment="1" applyProtection="1">
      <alignment vertical="center"/>
      <protection/>
    </xf>
    <xf numFmtId="172" fontId="20" fillId="0" borderId="10" xfId="19" applyNumberFormat="1" applyFont="1" applyBorder="1" applyAlignment="1" applyProtection="1">
      <alignment vertical="center"/>
      <protection/>
    </xf>
    <xf numFmtId="172" fontId="20" fillId="0" borderId="3" xfId="19" applyNumberFormat="1" applyFont="1" applyBorder="1" applyAlignment="1" applyProtection="1">
      <alignment vertical="center"/>
      <protection/>
    </xf>
    <xf numFmtId="172" fontId="20" fillId="0" borderId="9" xfId="19" applyNumberFormat="1" applyFont="1" applyBorder="1" applyAlignment="1" applyProtection="1">
      <alignment vertical="center"/>
      <protection/>
    </xf>
    <xf numFmtId="0" fontId="20" fillId="0" borderId="0" xfId="19" applyFont="1" applyProtection="1">
      <alignment/>
      <protection/>
    </xf>
    <xf numFmtId="0" fontId="10" fillId="0" borderId="0" xfId="19" applyFont="1" applyBorder="1" applyProtection="1">
      <alignment/>
      <protection/>
    </xf>
    <xf numFmtId="0" fontId="23" fillId="0" borderId="3" xfId="19" applyFont="1" applyBorder="1" applyAlignment="1" applyProtection="1">
      <alignment horizontal="centerContinuous"/>
      <protection/>
    </xf>
    <xf numFmtId="0" fontId="24" fillId="0" borderId="3" xfId="19" applyFont="1" applyBorder="1" applyAlignment="1" applyProtection="1">
      <alignment horizontal="centerContinuous"/>
      <protection/>
    </xf>
    <xf numFmtId="0" fontId="24" fillId="0" borderId="0" xfId="19" applyFont="1" applyBorder="1" applyAlignment="1" applyProtection="1">
      <alignment horizontal="centerContinuous"/>
      <protection/>
    </xf>
    <xf numFmtId="0" fontId="6" fillId="0" borderId="15" xfId="19" applyFont="1" applyFill="1" applyBorder="1" applyAlignment="1">
      <alignment horizontal="center"/>
      <protection/>
    </xf>
    <xf numFmtId="173" fontId="13" fillId="0" borderId="15" xfId="19" applyNumberFormat="1" applyFont="1" applyFill="1" applyBorder="1" applyAlignment="1" applyProtection="1">
      <alignment horizontal="center"/>
      <protection/>
    </xf>
    <xf numFmtId="173" fontId="16" fillId="0" borderId="15" xfId="19" applyNumberFormat="1" applyFont="1" applyFill="1" applyBorder="1" applyAlignment="1" applyProtection="1">
      <alignment horizontal="center"/>
      <protection/>
    </xf>
    <xf numFmtId="9" fontId="19" fillId="2" borderId="0" xfId="19" applyNumberFormat="1" applyFont="1" applyFill="1" applyBorder="1" applyAlignment="1" applyProtection="1">
      <alignment horizontal="center" vertical="center"/>
      <protection locked="0"/>
    </xf>
    <xf numFmtId="173" fontId="13" fillId="0" borderId="16" xfId="19" applyNumberFormat="1" applyFont="1" applyFill="1" applyBorder="1" applyAlignment="1" applyProtection="1">
      <alignment horizontal="center"/>
      <protection/>
    </xf>
    <xf numFmtId="173" fontId="13" fillId="0" borderId="17" xfId="19" applyNumberFormat="1" applyFont="1" applyFill="1" applyBorder="1" applyAlignment="1" applyProtection="1">
      <alignment horizontal="center"/>
      <protection/>
    </xf>
    <xf numFmtId="0" fontId="16" fillId="0" borderId="0" xfId="19" applyFont="1" applyFill="1" applyBorder="1" applyAlignment="1" applyProtection="1">
      <alignment horizontal="center"/>
      <protection/>
    </xf>
    <xf numFmtId="0" fontId="16" fillId="0" borderId="4" xfId="19" applyFont="1" applyFill="1" applyBorder="1" applyAlignment="1" applyProtection="1">
      <alignment horizontal="centerContinuous"/>
      <protection/>
    </xf>
    <xf numFmtId="0" fontId="13" fillId="0" borderId="5" xfId="19" applyFont="1" applyFill="1" applyBorder="1" applyAlignment="1" applyProtection="1">
      <alignment horizontal="center"/>
      <protection/>
    </xf>
    <xf numFmtId="0" fontId="13" fillId="0" borderId="16" xfId="19" applyFont="1" applyFill="1" applyBorder="1" applyAlignment="1" applyProtection="1">
      <alignment horizontal="center"/>
      <protection/>
    </xf>
    <xf numFmtId="0" fontId="13" fillId="0" borderId="5" xfId="19" applyFont="1" applyBorder="1" applyAlignment="1">
      <alignment horizontal="center"/>
      <protection/>
    </xf>
    <xf numFmtId="0" fontId="13" fillId="0" borderId="5" xfId="19" applyFont="1" applyBorder="1" applyAlignment="1" applyProtection="1">
      <alignment horizontal="center"/>
      <protection/>
    </xf>
    <xf numFmtId="0" fontId="27" fillId="0" borderId="2" xfId="19" applyFont="1" applyFill="1" applyBorder="1" applyAlignment="1" applyProtection="1">
      <alignment horizontal="left"/>
      <protection/>
    </xf>
    <xf numFmtId="0" fontId="27" fillId="0" borderId="3" xfId="19" applyFont="1" applyFill="1" applyBorder="1" applyAlignment="1" applyProtection="1">
      <alignment horizontal="left"/>
      <protection/>
    </xf>
    <xf numFmtId="0" fontId="27" fillId="0" borderId="1" xfId="19" applyFont="1" applyFill="1" applyBorder="1" applyAlignment="1" applyProtection="1">
      <alignment horizontal="centerContinuous"/>
      <protection/>
    </xf>
    <xf numFmtId="0" fontId="13" fillId="0" borderId="17" xfId="19" applyFont="1" applyFill="1" applyBorder="1" applyAlignment="1">
      <alignment horizontal="center"/>
      <protection/>
    </xf>
    <xf numFmtId="0" fontId="13" fillId="0" borderId="5" xfId="19" applyFont="1" applyFill="1" applyBorder="1" applyAlignment="1" applyProtection="1">
      <alignment/>
      <protection/>
    </xf>
    <xf numFmtId="0" fontId="13" fillId="0" borderId="15" xfId="19" applyFont="1" applyFill="1" applyBorder="1" applyAlignment="1" applyProtection="1">
      <alignment/>
      <protection/>
    </xf>
    <xf numFmtId="0" fontId="13" fillId="0" borderId="17" xfId="19" applyFont="1" applyFill="1" applyBorder="1" applyAlignment="1" applyProtection="1">
      <alignment/>
      <protection/>
    </xf>
    <xf numFmtId="0" fontId="13" fillId="0" borderId="16" xfId="19" applyFont="1" applyFill="1" applyBorder="1" applyAlignment="1" applyProtection="1">
      <alignment/>
      <protection/>
    </xf>
    <xf numFmtId="0" fontId="17" fillId="0" borderId="1" xfId="19" applyFont="1" applyFill="1" applyBorder="1" applyAlignment="1" applyProtection="1">
      <alignment horizontal="centerContinuous"/>
      <protection/>
    </xf>
    <xf numFmtId="0" fontId="13" fillId="0" borderId="5" xfId="19" applyFont="1" applyBorder="1">
      <alignment/>
      <protection/>
    </xf>
    <xf numFmtId="0" fontId="16" fillId="0" borderId="4" xfId="19" applyFont="1" applyFill="1" applyBorder="1" applyAlignment="1" applyProtection="1">
      <alignment horizontal="left"/>
      <protection/>
    </xf>
    <xf numFmtId="0" fontId="13" fillId="0" borderId="18" xfId="19" applyFont="1" applyFill="1" applyBorder="1" applyAlignment="1" applyProtection="1">
      <alignment/>
      <protection/>
    </xf>
    <xf numFmtId="0" fontId="13" fillId="0" borderId="17" xfId="19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2" fontId="13" fillId="0" borderId="18" xfId="19" applyNumberFormat="1" applyFont="1" applyFill="1" applyBorder="1" applyAlignment="1" applyProtection="1">
      <alignment/>
      <protection/>
    </xf>
    <xf numFmtId="173" fontId="13" fillId="0" borderId="18" xfId="19" applyNumberFormat="1" applyFont="1" applyFill="1" applyBorder="1" applyAlignment="1" applyProtection="1">
      <alignment/>
      <protection/>
    </xf>
    <xf numFmtId="0" fontId="15" fillId="0" borderId="4" xfId="19" applyFont="1" applyFill="1" applyBorder="1" applyAlignment="1" applyProtection="1">
      <alignment/>
      <protection/>
    </xf>
    <xf numFmtId="2" fontId="15" fillId="0" borderId="4" xfId="19" applyNumberFormat="1" applyFont="1" applyFill="1" applyBorder="1" applyAlignment="1" applyProtection="1">
      <alignment/>
      <protection/>
    </xf>
    <xf numFmtId="173" fontId="15" fillId="0" borderId="4" xfId="19" applyNumberFormat="1" applyFont="1" applyFill="1" applyBorder="1" applyAlignment="1" applyProtection="1">
      <alignment/>
      <protection/>
    </xf>
    <xf numFmtId="0" fontId="17" fillId="0" borderId="3" xfId="19" applyFont="1" applyFill="1" applyBorder="1" applyAlignment="1" applyProtection="1">
      <alignment horizontal="left"/>
      <protection/>
    </xf>
    <xf numFmtId="1" fontId="13" fillId="0" borderId="17" xfId="19" applyNumberFormat="1" applyFont="1" applyFill="1" applyBorder="1" applyAlignment="1" applyProtection="1">
      <alignment/>
      <protection/>
    </xf>
    <xf numFmtId="173" fontId="13" fillId="0" borderId="17" xfId="19" applyNumberFormat="1" applyFont="1" applyFill="1" applyBorder="1" applyAlignment="1" applyProtection="1">
      <alignment/>
      <protection/>
    </xf>
    <xf numFmtId="0" fontId="6" fillId="0" borderId="0" xfId="19" applyNumberFormat="1" applyFont="1" applyProtection="1">
      <alignment/>
      <protection/>
    </xf>
    <xf numFmtId="0" fontId="13" fillId="0" borderId="0" xfId="0" applyFont="1" applyAlignment="1">
      <alignment/>
    </xf>
    <xf numFmtId="0" fontId="28" fillId="0" borderId="0" xfId="19" applyFont="1" applyFill="1" applyBorder="1" applyAlignment="1">
      <alignment horizontal="center"/>
      <protection/>
    </xf>
    <xf numFmtId="174" fontId="13" fillId="0" borderId="0" xfId="19" applyNumberFormat="1" applyFont="1" applyProtection="1">
      <alignment/>
      <protection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173" fontId="5" fillId="0" borderId="17" xfId="19" applyNumberFormat="1" applyFont="1" applyBorder="1" applyProtection="1">
      <alignment/>
      <protection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19" applyFont="1" applyFill="1" applyBorder="1" applyAlignment="1" applyProtection="1">
      <alignment/>
      <protection/>
    </xf>
    <xf numFmtId="0" fontId="13" fillId="0" borderId="18" xfId="0" applyFont="1" applyBorder="1" applyAlignment="1">
      <alignment horizontal="center"/>
    </xf>
    <xf numFmtId="173" fontId="13" fillId="0" borderId="19" xfId="19" applyNumberFormat="1" applyFont="1" applyFill="1" applyBorder="1" applyAlignment="1" applyProtection="1">
      <alignment/>
      <protection/>
    </xf>
    <xf numFmtId="0" fontId="12" fillId="0" borderId="17" xfId="19" applyFont="1" applyFill="1" applyBorder="1" applyAlignment="1" applyProtection="1">
      <alignment horizontal="centerContinuous"/>
      <protection/>
    </xf>
    <xf numFmtId="0" fontId="12" fillId="0" borderId="0" xfId="19" applyFont="1" applyFill="1" applyBorder="1" applyAlignment="1" applyProtection="1">
      <alignment horizontal="centerContinuous"/>
      <protection/>
    </xf>
    <xf numFmtId="0" fontId="13" fillId="0" borderId="20" xfId="19" applyFont="1" applyFill="1" applyBorder="1" applyAlignment="1" applyProtection="1">
      <alignment/>
      <protection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9" xfId="19" applyFont="1" applyFill="1" applyBorder="1" applyAlignment="1">
      <alignment/>
      <protection/>
    </xf>
    <xf numFmtId="0" fontId="13" fillId="0" borderId="19" xfId="19" applyFont="1" applyBorder="1" applyProtection="1">
      <alignment/>
      <protection/>
    </xf>
    <xf numFmtId="172" fontId="21" fillId="0" borderId="11" xfId="19" applyNumberFormat="1" applyFont="1" applyFill="1" applyBorder="1" applyAlignment="1" applyProtection="1">
      <alignment horizontal="center" vertical="center" wrapText="1"/>
      <protection/>
    </xf>
    <xf numFmtId="0" fontId="13" fillId="0" borderId="20" xfId="19" applyFont="1" applyFill="1" applyBorder="1" applyAlignment="1" applyProtection="1">
      <alignment horizontal="center"/>
      <protection/>
    </xf>
    <xf numFmtId="173" fontId="13" fillId="0" borderId="20" xfId="19" applyNumberFormat="1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>
      <alignment horizontal="center"/>
      <protection/>
    </xf>
    <xf numFmtId="0" fontId="13" fillId="0" borderId="19" xfId="19" applyFont="1" applyFill="1" applyBorder="1" applyAlignment="1" applyProtection="1">
      <alignment horizontal="center"/>
      <protection/>
    </xf>
    <xf numFmtId="173" fontId="13" fillId="0" borderId="19" xfId="19" applyNumberFormat="1" applyFont="1" applyFill="1" applyBorder="1" applyAlignment="1" applyProtection="1">
      <alignment horizontal="center"/>
      <protection/>
    </xf>
    <xf numFmtId="0" fontId="19" fillId="0" borderId="0" xfId="19" applyFont="1" applyProtection="1">
      <alignment/>
      <protection/>
    </xf>
    <xf numFmtId="0" fontId="18" fillId="2" borderId="0" xfId="19" applyFont="1" applyFill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/>
      <protection/>
    </xf>
    <xf numFmtId="0" fontId="12" fillId="0" borderId="4" xfId="19" applyFont="1" applyFill="1" applyBorder="1" applyAlignment="1" applyProtection="1">
      <alignment horizontal="center"/>
      <protection/>
    </xf>
    <xf numFmtId="0" fontId="16" fillId="0" borderId="17" xfId="19" applyFont="1" applyFill="1" applyBorder="1" applyAlignment="1" applyProtection="1">
      <alignment horizontal="center"/>
      <protection/>
    </xf>
    <xf numFmtId="0" fontId="16" fillId="0" borderId="4" xfId="19" applyFont="1" applyFill="1" applyBorder="1" applyAlignment="1" applyProtection="1">
      <alignment horizontal="center"/>
      <protection/>
    </xf>
    <xf numFmtId="0" fontId="18" fillId="2" borderId="0" xfId="19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2" borderId="0" xfId="19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tatistics" xfId="19"/>
    <cellStyle name="Percent" xfId="20"/>
    <cellStyle name="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57</xdr:row>
      <xdr:rowOff>9525</xdr:rowOff>
    </xdr:from>
    <xdr:to>
      <xdr:col>7</xdr:col>
      <xdr:colOff>171450</xdr:colOff>
      <xdr:row>103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0432"/>
        <a:stretch>
          <a:fillRect/>
        </a:stretch>
      </xdr:blipFill>
      <xdr:spPr>
        <a:xfrm>
          <a:off x="57150" y="9239250"/>
          <a:ext cx="6534150" cy="7439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666750</xdr:colOff>
      <xdr:row>0</xdr:row>
      <xdr:rowOff>66675</xdr:rowOff>
    </xdr:from>
    <xdr:to>
      <xdr:col>7</xdr:col>
      <xdr:colOff>666750</xdr:colOff>
      <xdr:row>285</xdr:row>
      <xdr:rowOff>85725</xdr:rowOff>
    </xdr:to>
    <xdr:sp>
      <xdr:nvSpPr>
        <xdr:cNvPr id="2" name="Line 14"/>
        <xdr:cNvSpPr>
          <a:spLocks/>
        </xdr:cNvSpPr>
      </xdr:nvSpPr>
      <xdr:spPr>
        <a:xfrm>
          <a:off x="7086600" y="66675"/>
          <a:ext cx="0" cy="4616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1:A1"/>
  <sheetViews>
    <sheetView showGridLines="0" workbookViewId="0" topLeftCell="A81">
      <selection activeCell="J98" sqref="J98"/>
    </sheetView>
  </sheetViews>
  <sheetFormatPr defaultColWidth="9.00390625" defaultRowHeight="12.75"/>
  <cols>
    <col min="1" max="1" width="9.25390625" style="110" customWidth="1"/>
    <col min="2" max="7" width="12.50390625" style="110" customWidth="1"/>
    <col min="8" max="8" width="15.50390625" style="110" customWidth="1"/>
    <col min="9" max="16384" width="12.50390625" style="11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printOptions/>
  <pageMargins left="0.75" right="0.75" top="1" bottom="1" header="0.5" footer="0.5"/>
  <pageSetup horizontalDpi="600" verticalDpi="600" orientation="portrait" paperSize="9" r:id="rId6"/>
  <headerFooter alignWithMargins="0">
    <oddHeader>&amp;C&amp;F</oddHeader>
    <oddFooter>&amp;CPage &amp;P</oddFooter>
  </headerFooter>
  <drawing r:id="rId5"/>
  <legacyDrawing r:id="rId4"/>
  <oleObjects>
    <oleObject progId="Word.Document.8" shapeId="142281" r:id="rId1"/>
    <oleObject progId="Word.Document.8" shapeId="150430" r:id="rId2"/>
    <oleObject progId="Word.Document.8" shapeId="3859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  <pageSetUpPr fitToPage="1"/>
  </sheetPr>
  <dimension ref="A1:D80"/>
  <sheetViews>
    <sheetView showGridLines="0" workbookViewId="0" topLeftCell="A7">
      <selection activeCell="M28" sqref="M28"/>
    </sheetView>
  </sheetViews>
  <sheetFormatPr defaultColWidth="9.00390625" defaultRowHeight="12.75"/>
  <cols>
    <col min="1" max="1" width="41.50390625" style="1" customWidth="1"/>
    <col min="2" max="2" width="27.50390625" style="120" customWidth="1"/>
    <col min="3" max="3" width="21.00390625" style="120" customWidth="1"/>
    <col min="4" max="16384" width="9.25390625" style="120" customWidth="1"/>
  </cols>
  <sheetData>
    <row r="1" spans="1:4" ht="12.75">
      <c r="A1" s="27" t="s">
        <v>6</v>
      </c>
      <c r="B1" s="123" t="s">
        <v>119</v>
      </c>
      <c r="C1" s="123" t="s">
        <v>103</v>
      </c>
      <c r="D1" s="124"/>
    </row>
    <row r="2" spans="1:3" ht="12.75">
      <c r="A2" s="101" t="s">
        <v>10</v>
      </c>
      <c r="B2" s="133" t="s">
        <v>104</v>
      </c>
      <c r="C2" s="133" t="s">
        <v>110</v>
      </c>
    </row>
    <row r="3" spans="1:3" ht="12.75">
      <c r="A3" s="101" t="s">
        <v>71</v>
      </c>
      <c r="B3" s="131" t="s">
        <v>104</v>
      </c>
      <c r="C3" s="132" t="s">
        <v>111</v>
      </c>
    </row>
    <row r="4" spans="1:3" ht="12.75">
      <c r="A4" s="102" t="s">
        <v>12</v>
      </c>
      <c r="B4" s="126" t="s">
        <v>104</v>
      </c>
      <c r="C4" s="127" t="s">
        <v>111</v>
      </c>
    </row>
    <row r="5" spans="1:3" ht="12.75">
      <c r="A5" s="101" t="s">
        <v>13</v>
      </c>
      <c r="B5" s="130" t="s">
        <v>104</v>
      </c>
      <c r="C5" s="130" t="s">
        <v>110</v>
      </c>
    </row>
    <row r="6" spans="1:3" ht="12.75">
      <c r="A6" s="101" t="s">
        <v>73</v>
      </c>
      <c r="B6" s="133" t="s">
        <v>104</v>
      </c>
      <c r="C6" s="134" t="s">
        <v>111</v>
      </c>
    </row>
    <row r="7" spans="1:3" ht="12.75">
      <c r="A7" s="102" t="s">
        <v>15</v>
      </c>
      <c r="B7" s="126" t="s">
        <v>104</v>
      </c>
      <c r="C7" s="127" t="s">
        <v>111</v>
      </c>
    </row>
    <row r="8" spans="1:3" ht="12.75">
      <c r="A8" s="20" t="s">
        <v>19</v>
      </c>
      <c r="B8" s="130" t="s">
        <v>104</v>
      </c>
      <c r="C8" s="130" t="s">
        <v>110</v>
      </c>
    </row>
    <row r="9" spans="1:3" ht="12.75">
      <c r="A9" s="108" t="s">
        <v>21</v>
      </c>
      <c r="B9" s="130" t="s">
        <v>104</v>
      </c>
      <c r="C9" s="136" t="s">
        <v>111</v>
      </c>
    </row>
    <row r="10" spans="1:3" ht="12.75">
      <c r="A10" s="135" t="s">
        <v>76</v>
      </c>
      <c r="B10" s="133" t="s">
        <v>104</v>
      </c>
      <c r="C10" s="134" t="s">
        <v>111</v>
      </c>
    </row>
    <row r="11" spans="1:3" ht="12.75">
      <c r="A11" s="103" t="s">
        <v>84</v>
      </c>
      <c r="B11" s="126" t="s">
        <v>105</v>
      </c>
      <c r="C11" s="127" t="s">
        <v>106</v>
      </c>
    </row>
    <row r="12" spans="1:3" ht="12.75">
      <c r="A12" s="135" t="s">
        <v>25</v>
      </c>
      <c r="B12" s="133" t="s">
        <v>104</v>
      </c>
      <c r="C12" s="133" t="s">
        <v>110</v>
      </c>
    </row>
    <row r="13" spans="1:3" ht="12.75">
      <c r="A13" s="101" t="s">
        <v>79</v>
      </c>
      <c r="B13" s="126" t="s">
        <v>106</v>
      </c>
      <c r="C13" s="127" t="s">
        <v>111</v>
      </c>
    </row>
    <row r="14" spans="1:3" ht="12.75">
      <c r="A14" s="135" t="s">
        <v>27</v>
      </c>
      <c r="B14" s="133" t="s">
        <v>104</v>
      </c>
      <c r="C14" s="133" t="s">
        <v>110</v>
      </c>
    </row>
    <row r="15" spans="1:3" ht="12.75">
      <c r="A15" s="103" t="s">
        <v>80</v>
      </c>
      <c r="B15" s="126" t="s">
        <v>106</v>
      </c>
      <c r="C15" s="127" t="s">
        <v>111</v>
      </c>
    </row>
    <row r="16" spans="1:3" ht="12.75">
      <c r="A16" s="101" t="s">
        <v>16</v>
      </c>
      <c r="B16" s="133" t="s">
        <v>104</v>
      </c>
      <c r="C16" s="133" t="s">
        <v>110</v>
      </c>
    </row>
    <row r="17" spans="1:3" ht="12.75">
      <c r="A17" s="101" t="s">
        <v>77</v>
      </c>
      <c r="B17" s="131" t="s">
        <v>104</v>
      </c>
      <c r="C17" s="131" t="s">
        <v>110</v>
      </c>
    </row>
    <row r="18" spans="1:3" ht="12.75">
      <c r="A18" s="104" t="s">
        <v>23</v>
      </c>
      <c r="B18" s="126" t="s">
        <v>104</v>
      </c>
      <c r="C18" s="126" t="s">
        <v>110</v>
      </c>
    </row>
    <row r="19" spans="1:3" ht="12.75">
      <c r="A19" s="101" t="s">
        <v>29</v>
      </c>
      <c r="B19" s="133" t="s">
        <v>104</v>
      </c>
      <c r="C19" s="133" t="s">
        <v>110</v>
      </c>
    </row>
    <row r="20" spans="1:3" ht="12.75">
      <c r="A20" s="101" t="s">
        <v>31</v>
      </c>
      <c r="B20" s="126" t="s">
        <v>104</v>
      </c>
      <c r="C20" s="126" t="s">
        <v>110</v>
      </c>
    </row>
    <row r="21" spans="1:3" ht="12.75">
      <c r="A21" s="105"/>
      <c r="B21" s="126"/>
      <c r="C21" s="126"/>
    </row>
    <row r="22" spans="1:3" ht="12.75">
      <c r="A22" s="101" t="s">
        <v>90</v>
      </c>
      <c r="B22" s="133" t="s">
        <v>104</v>
      </c>
      <c r="C22" s="133"/>
    </row>
    <row r="23" spans="1:3" ht="12.75">
      <c r="A23" s="101" t="s">
        <v>91</v>
      </c>
      <c r="B23" s="131" t="s">
        <v>104</v>
      </c>
      <c r="C23" s="131"/>
    </row>
    <row r="24" spans="1:3" ht="12.75">
      <c r="A24" s="101" t="s">
        <v>123</v>
      </c>
      <c r="B24" s="131"/>
      <c r="C24" s="131"/>
    </row>
    <row r="25" spans="1:3" ht="12.75">
      <c r="A25" s="106" t="s">
        <v>33</v>
      </c>
      <c r="B25" s="131" t="s">
        <v>104</v>
      </c>
      <c r="C25" s="131"/>
    </row>
    <row r="26" spans="1:3" ht="13.5" thickBot="1">
      <c r="A26" s="106" t="s">
        <v>85</v>
      </c>
      <c r="B26" s="128" t="s">
        <v>107</v>
      </c>
      <c r="C26" s="128" t="s">
        <v>107</v>
      </c>
    </row>
    <row r="27" spans="1:3" ht="13.5" thickBot="1">
      <c r="A27" s="6"/>
      <c r="B27" s="128"/>
      <c r="C27" s="128"/>
    </row>
    <row r="28" spans="1:3" ht="12.75">
      <c r="A28" s="155" t="s">
        <v>38</v>
      </c>
      <c r="B28" s="155"/>
      <c r="C28" s="155"/>
    </row>
    <row r="29" spans="1:3" ht="12.75">
      <c r="A29" s="135" t="s">
        <v>39</v>
      </c>
      <c r="B29" s="133" t="s">
        <v>107</v>
      </c>
      <c r="C29" s="133"/>
    </row>
    <row r="30" spans="1:3" ht="12.75">
      <c r="A30" s="112" t="s">
        <v>41</v>
      </c>
      <c r="B30" s="130"/>
      <c r="C30" s="130"/>
    </row>
    <row r="31" spans="1:3" ht="12.75">
      <c r="A31" s="137" t="s">
        <v>43</v>
      </c>
      <c r="B31" s="133"/>
      <c r="C31" s="133"/>
    </row>
    <row r="32" spans="1:3" ht="12.75">
      <c r="A32" s="138"/>
      <c r="B32" s="126"/>
      <c r="C32" s="126"/>
    </row>
    <row r="33" spans="1:3" ht="12.75">
      <c r="A33" s="108" t="s">
        <v>75</v>
      </c>
      <c r="B33" s="130" t="s">
        <v>108</v>
      </c>
      <c r="C33" s="136" t="s">
        <v>106</v>
      </c>
    </row>
    <row r="34" spans="1:3" ht="12.75">
      <c r="A34" s="135" t="s">
        <v>46</v>
      </c>
      <c r="B34" s="133" t="s">
        <v>108</v>
      </c>
      <c r="C34" s="134" t="s">
        <v>106</v>
      </c>
    </row>
    <row r="35" spans="1:3" ht="12.75">
      <c r="A35" s="139"/>
      <c r="B35" s="110"/>
      <c r="C35" s="110"/>
    </row>
    <row r="36" spans="1:3" ht="12.75">
      <c r="A36" s="135" t="s">
        <v>86</v>
      </c>
      <c r="B36" s="133" t="s">
        <v>109</v>
      </c>
      <c r="C36" s="134" t="s">
        <v>111</v>
      </c>
    </row>
    <row r="37" spans="1:3" ht="12.75">
      <c r="A37" s="101" t="s">
        <v>92</v>
      </c>
      <c r="B37" s="131" t="s">
        <v>109</v>
      </c>
      <c r="C37" s="132" t="s">
        <v>111</v>
      </c>
    </row>
    <row r="38" spans="1:3" ht="12.75">
      <c r="A38" s="101" t="s">
        <v>50</v>
      </c>
      <c r="B38" s="131" t="s">
        <v>109</v>
      </c>
      <c r="C38" s="132" t="s">
        <v>111</v>
      </c>
    </row>
    <row r="39" spans="1:3" ht="13.5" thickBot="1">
      <c r="A39" s="20" t="s">
        <v>52</v>
      </c>
      <c r="B39" s="128" t="s">
        <v>109</v>
      </c>
      <c r="C39" s="129" t="s">
        <v>111</v>
      </c>
    </row>
    <row r="40" spans="1:3" ht="12.75">
      <c r="A40" s="155" t="s">
        <v>54</v>
      </c>
      <c r="B40" s="155"/>
      <c r="C40" s="155"/>
    </row>
    <row r="41" spans="1:3" ht="12.75">
      <c r="A41" s="108" t="s">
        <v>87</v>
      </c>
      <c r="B41" s="130" t="s">
        <v>107</v>
      </c>
      <c r="C41" s="130" t="s">
        <v>106</v>
      </c>
    </row>
    <row r="42" spans="1:3" ht="12.75">
      <c r="A42" s="135" t="s">
        <v>88</v>
      </c>
      <c r="B42" s="133" t="s">
        <v>113</v>
      </c>
      <c r="C42" s="133" t="s">
        <v>113</v>
      </c>
    </row>
    <row r="43" spans="1:3" ht="12.75">
      <c r="A43" s="140" t="s">
        <v>57</v>
      </c>
      <c r="B43" s="141" t="s">
        <v>113</v>
      </c>
      <c r="C43" s="141" t="s">
        <v>113</v>
      </c>
    </row>
    <row r="44" spans="1:3" ht="12.75">
      <c r="A44" s="140" t="s">
        <v>89</v>
      </c>
      <c r="B44" s="141"/>
      <c r="C44" s="142" t="s">
        <v>111</v>
      </c>
    </row>
    <row r="45" spans="1:3" ht="12.75">
      <c r="A45" s="140" t="s">
        <v>83</v>
      </c>
      <c r="B45" s="141" t="s">
        <v>112</v>
      </c>
      <c r="C45" s="141" t="s">
        <v>113</v>
      </c>
    </row>
    <row r="46" spans="1:3" ht="12.75">
      <c r="A46" s="140" t="s">
        <v>115</v>
      </c>
      <c r="B46" s="141" t="s">
        <v>107</v>
      </c>
      <c r="C46" s="141"/>
    </row>
    <row r="47" spans="1:3" ht="12.75">
      <c r="A47" s="140" t="s">
        <v>101</v>
      </c>
      <c r="B47" s="141" t="s">
        <v>113</v>
      </c>
      <c r="C47" s="141"/>
    </row>
    <row r="48" spans="1:3" ht="12.75">
      <c r="A48" s="140" t="s">
        <v>100</v>
      </c>
      <c r="B48" s="141" t="s">
        <v>113</v>
      </c>
      <c r="C48" s="141"/>
    </row>
    <row r="49" spans="1:3" ht="12.75">
      <c r="A49" s="140" t="s">
        <v>93</v>
      </c>
      <c r="B49" s="141" t="s">
        <v>107</v>
      </c>
      <c r="C49" s="141" t="s">
        <v>118</v>
      </c>
    </row>
    <row r="50" spans="1:3" ht="13.5" thickBot="1">
      <c r="A50" s="140" t="s">
        <v>94</v>
      </c>
      <c r="B50" s="143" t="s">
        <v>107</v>
      </c>
      <c r="C50" s="143" t="s">
        <v>118</v>
      </c>
    </row>
    <row r="51" spans="1:3" ht="12.75">
      <c r="A51" s="156" t="s">
        <v>1</v>
      </c>
      <c r="B51" s="156"/>
      <c r="C51" s="156"/>
    </row>
    <row r="52" spans="1:3" ht="12.75">
      <c r="A52" s="108" t="s">
        <v>64</v>
      </c>
      <c r="B52" s="130" t="s">
        <v>107</v>
      </c>
      <c r="C52" s="130"/>
    </row>
    <row r="53" spans="1:3" ht="12.75">
      <c r="A53" s="144" t="s">
        <v>65</v>
      </c>
      <c r="B53" s="133" t="s">
        <v>107</v>
      </c>
      <c r="C53" s="133"/>
    </row>
    <row r="54" spans="1:3" ht="13.5" thickBot="1">
      <c r="A54" s="34" t="s">
        <v>66</v>
      </c>
      <c r="B54" s="128" t="s">
        <v>107</v>
      </c>
      <c r="C54" s="128"/>
    </row>
    <row r="55" spans="1:3" ht="13.5" thickBot="1">
      <c r="A55" s="116"/>
      <c r="B55" s="128"/>
      <c r="C55" s="128"/>
    </row>
    <row r="56" spans="1:3" ht="13.5">
      <c r="A56" s="157" t="s">
        <v>1</v>
      </c>
      <c r="B56" s="157"/>
      <c r="C56" s="157"/>
    </row>
    <row r="57" spans="1:3" ht="12.75">
      <c r="A57" s="145" t="s">
        <v>70</v>
      </c>
      <c r="B57" s="133" t="s">
        <v>107</v>
      </c>
      <c r="C57" s="133"/>
    </row>
    <row r="58" spans="1:3" ht="13.5" thickBot="1">
      <c r="A58" s="34" t="s">
        <v>65</v>
      </c>
      <c r="B58" s="128" t="s">
        <v>107</v>
      </c>
      <c r="C58" s="128"/>
    </row>
    <row r="60" ht="15">
      <c r="A60" s="152" t="s">
        <v>120</v>
      </c>
    </row>
    <row r="65" ht="14.25">
      <c r="A65" s="10"/>
    </row>
    <row r="66" ht="14.25">
      <c r="A66" s="10"/>
    </row>
    <row r="67" ht="14.25">
      <c r="A67" s="10"/>
    </row>
    <row r="68" ht="14.25">
      <c r="A68" s="10"/>
    </row>
    <row r="69" ht="14.25">
      <c r="A69" s="10"/>
    </row>
    <row r="70" ht="14.25">
      <c r="A70" s="10"/>
    </row>
    <row r="71" ht="14.25">
      <c r="A71" s="10"/>
    </row>
    <row r="72" ht="14.25">
      <c r="A72" s="10"/>
    </row>
    <row r="73" ht="14.25">
      <c r="A73" s="10"/>
    </row>
    <row r="74" ht="14.25">
      <c r="A74" s="10"/>
    </row>
    <row r="75" ht="14.25">
      <c r="A75" s="10"/>
    </row>
    <row r="76" ht="14.25">
      <c r="A76" s="10"/>
    </row>
    <row r="77" ht="14.25">
      <c r="A77" s="10"/>
    </row>
    <row r="78" ht="14.25">
      <c r="A78" s="10"/>
    </row>
    <row r="79" ht="14.25">
      <c r="A79" s="10"/>
    </row>
    <row r="80" ht="14.25">
      <c r="A80" s="10"/>
    </row>
  </sheetData>
  <sheetProtection sheet="1" objects="1" scenarios="1"/>
  <mergeCells count="4">
    <mergeCell ref="A40:C40"/>
    <mergeCell ref="A28:C28"/>
    <mergeCell ref="A51:C51"/>
    <mergeCell ref="A56:C56"/>
  </mergeCells>
  <printOptions/>
  <pageMargins left="0.75" right="0.75" top="1" bottom="1" header="0.5" footer="0.5"/>
  <pageSetup fitToHeight="1" fitToWidth="1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M97"/>
  <sheetViews>
    <sheetView showGridLines="0" tabSelected="1" zoomScale="70" zoomScaleNormal="70" workbookViewId="0" topLeftCell="A1">
      <selection activeCell="R28" sqref="R28"/>
    </sheetView>
  </sheetViews>
  <sheetFormatPr defaultColWidth="9.00390625" defaultRowHeight="12.75"/>
  <cols>
    <col min="1" max="1" width="33.00390625" style="1" customWidth="1"/>
    <col min="2" max="6" width="12.75390625" style="1" customWidth="1"/>
    <col min="7" max="7" width="1.25" style="1" customWidth="1"/>
    <col min="8" max="8" width="2.75390625" style="1" customWidth="1"/>
    <col min="9" max="9" width="11.50390625" style="1" customWidth="1"/>
    <col min="10" max="11" width="11.75390625" style="1" customWidth="1"/>
    <col min="12" max="12" width="10.25390625" style="1" customWidth="1"/>
    <col min="13" max="16384" width="9.25390625" style="1" customWidth="1"/>
  </cols>
  <sheetData>
    <row r="1" spans="1:6" s="26" customFormat="1" ht="18.75" thickBot="1">
      <c r="A1" s="82" t="s">
        <v>0</v>
      </c>
      <c r="B1" s="83"/>
      <c r="C1" s="83"/>
      <c r="D1" s="83"/>
      <c r="E1" s="83"/>
      <c r="F1" s="83"/>
    </row>
    <row r="2" spans="1:6" s="26" customFormat="1" ht="6.75" customHeight="1">
      <c r="A2" s="84"/>
      <c r="B2" s="84"/>
      <c r="C2" s="84"/>
      <c r="D2" s="84"/>
      <c r="E2" s="84"/>
      <c r="F2" s="84"/>
    </row>
    <row r="3" spans="3:11" s="11" customFormat="1" ht="18.75">
      <c r="C3" s="158" t="s">
        <v>1</v>
      </c>
      <c r="D3" s="159"/>
      <c r="J3" s="61" t="str">
        <f>C3</f>
        <v>Test</v>
      </c>
      <c r="K3" s="62"/>
    </row>
    <row r="4" spans="3:11" s="11" customFormat="1" ht="16.5" thickBot="1">
      <c r="C4" s="63" t="s">
        <v>2</v>
      </c>
      <c r="D4" s="63" t="s">
        <v>3</v>
      </c>
      <c r="J4" s="63" t="s">
        <v>2</v>
      </c>
      <c r="K4" s="63" t="s">
        <v>3</v>
      </c>
    </row>
    <row r="5" spans="1:12" s="11" customFormat="1" ht="24.75" thickBot="1">
      <c r="A5" s="160" t="s">
        <v>121</v>
      </c>
      <c r="B5" s="64" t="s">
        <v>2</v>
      </c>
      <c r="C5" s="71">
        <v>44</v>
      </c>
      <c r="D5" s="72">
        <v>22</v>
      </c>
      <c r="E5" s="73">
        <f>TP+FN</f>
        <v>66</v>
      </c>
      <c r="I5" s="64" t="s">
        <v>2</v>
      </c>
      <c r="J5" s="146" t="str">
        <f>"Row  "&amp;TEXT(TP/DisPos,"?0.00%")&amp;" Col.  "&amp;TEXT(TP/TestPos,"?0.00%")</f>
        <v>Row  66.67% Col.  35.20%</v>
      </c>
      <c r="K5" s="146" t="str">
        <f>"Row  "&amp;TEXT(FN/DisPos,"0.00%")&amp;" Col.  "&amp;TEXT(FN/TestNeg,"0.00%")</f>
        <v>Row  33.33% Col.  4.44%</v>
      </c>
      <c r="L5" s="65">
        <f>DisPos/Total</f>
        <v>0.1064516129032258</v>
      </c>
    </row>
    <row r="6" spans="1:12" s="11" customFormat="1" ht="24.75" thickBot="1">
      <c r="A6" s="161"/>
      <c r="B6" s="64" t="s">
        <v>3</v>
      </c>
      <c r="C6" s="74">
        <v>81</v>
      </c>
      <c r="D6" s="75">
        <v>473</v>
      </c>
      <c r="E6" s="76">
        <f>FP+TN</f>
        <v>554</v>
      </c>
      <c r="I6" s="64" t="s">
        <v>3</v>
      </c>
      <c r="J6" s="146" t="str">
        <f>"Row  "&amp;TEXT(FP/DisNeg,"?0.00%")&amp;" Col.  "&amp;TEXT(FP/TestPos,"?0.00%")</f>
        <v>Row  14.62% Col.  64.80%</v>
      </c>
      <c r="K6" s="146" t="str">
        <f>"Row  "&amp;TEXT(TN/DisNeg,"?0.00%")&amp;" Col.  "&amp;TEXT(TN/TestNeg,"?0.00%")</f>
        <v>Row  85.38% Col.  95.56%</v>
      </c>
      <c r="L6" s="66">
        <f>DisNeg/Total</f>
        <v>0.8935483870967742</v>
      </c>
    </row>
    <row r="7" spans="3:12" s="11" customFormat="1" ht="24" thickBot="1">
      <c r="C7" s="77">
        <f>TP+FP</f>
        <v>125</v>
      </c>
      <c r="D7" s="78">
        <f>FN+TN</f>
        <v>495</v>
      </c>
      <c r="E7" s="79">
        <f>SUM(DisPos:DisNeg)</f>
        <v>620</v>
      </c>
      <c r="J7" s="69">
        <f>TestPos/Total</f>
        <v>0.20161290322580644</v>
      </c>
      <c r="K7" s="70">
        <f>TestNeg/Total</f>
        <v>0.7983870967741935</v>
      </c>
      <c r="L7" s="67">
        <f>Total</f>
        <v>620</v>
      </c>
    </row>
    <row r="8" spans="3:12" s="11" customFormat="1" ht="9.75" customHeight="1">
      <c r="C8" s="68"/>
      <c r="D8" s="68"/>
      <c r="E8" s="68"/>
      <c r="J8" s="68"/>
      <c r="K8" s="68"/>
      <c r="L8" s="68"/>
    </row>
    <row r="9" spans="1:11" s="11" customFormat="1" ht="23.25" customHeight="1">
      <c r="A9" s="11" t="s">
        <v>4</v>
      </c>
      <c r="B9" s="88">
        <v>0.95</v>
      </c>
      <c r="C9" s="68"/>
      <c r="D9" s="68"/>
      <c r="E9" s="68"/>
      <c r="I9" s="154" t="s">
        <v>5</v>
      </c>
      <c r="K9" s="153">
        <v>2</v>
      </c>
    </row>
    <row r="10" spans="3:8" s="11" customFormat="1" ht="6.75" customHeight="1" thickBot="1">
      <c r="C10" s="80"/>
      <c r="D10" s="80"/>
      <c r="E10" s="80"/>
      <c r="G10" s="81"/>
      <c r="H10" s="81"/>
    </row>
    <row r="11" spans="1:13" s="26" customFormat="1" ht="15">
      <c r="A11" s="27" t="s">
        <v>6</v>
      </c>
      <c r="B11" s="27" t="s">
        <v>7</v>
      </c>
      <c r="C11" s="27" t="s">
        <v>8</v>
      </c>
      <c r="D11" s="27" t="s">
        <v>9</v>
      </c>
      <c r="E11" s="27" t="str">
        <f>"Lower "&amp;TEXT(CI,"00%")&amp;" CI"</f>
        <v>Lower 95% CI</v>
      </c>
      <c r="F11" s="27" t="str">
        <f>"Upper "&amp;TEXT(CI,"00%")&amp;" CI"</f>
        <v>Upper 95% CI</v>
      </c>
      <c r="G11" s="91"/>
      <c r="H11" s="91"/>
      <c r="I11" s="107" t="s">
        <v>102</v>
      </c>
      <c r="J11" s="92"/>
      <c r="K11" s="92"/>
      <c r="L11" s="92"/>
      <c r="M11" s="92"/>
    </row>
    <row r="12" spans="1:9" ht="15.75">
      <c r="A12" s="101" t="s">
        <v>10</v>
      </c>
      <c r="B12" s="93" t="s">
        <v>11</v>
      </c>
      <c r="C12" s="42">
        <f>TP/DisPos</f>
        <v>0.6666666666666666</v>
      </c>
      <c r="D12" s="42">
        <f>SQRT(SE*(1-SE)/DisPos)</f>
        <v>0.05802588531856595</v>
      </c>
      <c r="E12" s="42">
        <f>1-BETAINV((1+CI)/2,DisPos+1-TP,TP)</f>
        <v>0.5398612022399902</v>
      </c>
      <c r="F12" s="42">
        <f>BETAINV((1+CI)/2,TP+1,DisPos-TP)</f>
        <v>0.7779693603515625</v>
      </c>
      <c r="G12" s="3"/>
      <c r="H12" s="3"/>
      <c r="I12" s="11" t="str">
        <f>A12&amp;" = "&amp;TEXT(C12,"0."&amp;REPT("0",ND))&amp;" ("&amp;TEXT(CI,"0%")&amp;" CI: "&amp;TEXT(E12,"0."&amp;REPT("0",ND))&amp;" - "&amp;TEXT(F12,"0."&amp;REPT("0",ND))&amp;")"</f>
        <v>Sensitivity = 0.67 (95% CI: 0.54 - 0.78)</v>
      </c>
    </row>
    <row r="13" spans="1:9" ht="15.75">
      <c r="A13" s="101" t="s">
        <v>71</v>
      </c>
      <c r="B13" s="93" t="s">
        <v>72</v>
      </c>
      <c r="C13" s="42">
        <f>Q</f>
        <v>0.20161290322580644</v>
      </c>
      <c r="D13" s="42"/>
      <c r="E13" s="42"/>
      <c r="F13" s="42"/>
      <c r="G13" s="3"/>
      <c r="H13" s="3"/>
      <c r="I13" s="11"/>
    </row>
    <row r="14" spans="1:9" ht="14.25" customHeight="1">
      <c r="A14" s="102" t="s">
        <v>12</v>
      </c>
      <c r="B14" s="85" t="s">
        <v>95</v>
      </c>
      <c r="C14" s="86">
        <f>(SE-Q)/(1-Q)</f>
        <v>0.5824915824915825</v>
      </c>
      <c r="D14" s="87"/>
      <c r="E14" s="87"/>
      <c r="F14" s="87"/>
      <c r="G14" s="2"/>
      <c r="H14" s="2"/>
      <c r="I14" s="11"/>
    </row>
    <row r="15" spans="1:9" ht="15.75">
      <c r="A15" s="101" t="s">
        <v>13</v>
      </c>
      <c r="B15" s="93" t="s">
        <v>14</v>
      </c>
      <c r="C15" s="42">
        <f>TN/DisNeg</f>
        <v>0.8537906137184116</v>
      </c>
      <c r="D15" s="42">
        <f>SQRT(SP*(1-SP)/DisNeg)</f>
        <v>0.015010958791339355</v>
      </c>
      <c r="E15" s="42">
        <f>1-BETAINV((1+CI)/2,DisNeg+1-TN,TN)</f>
        <v>0.8215844631195068</v>
      </c>
      <c r="F15" s="42">
        <f>BETAINV((1+CI)/2,TN+1,DisNeg-TN)</f>
        <v>0.8821624517440796</v>
      </c>
      <c r="G15" s="2"/>
      <c r="H15" s="2"/>
      <c r="I15" s="11" t="str">
        <f>A15&amp;" = "&amp;TEXT(C15,"0."&amp;REPT("0",ND))&amp;" ("&amp;TEXT(CI,"0%")&amp;" CI: "&amp;TEXT(E15,"0."&amp;REPT("0",ND))&amp;" - "&amp;TEXT(F15,"0."&amp;REPT("0",ND))&amp;")"</f>
        <v>Specificity = 0.85 (95% CI: 0.82 - 0.88)</v>
      </c>
    </row>
    <row r="16" spans="1:9" ht="15.75">
      <c r="A16" s="101" t="s">
        <v>73</v>
      </c>
      <c r="B16" s="93" t="s">
        <v>74</v>
      </c>
      <c r="C16" s="42">
        <f>1-Q</f>
        <v>0.7983870967741935</v>
      </c>
      <c r="D16" s="42"/>
      <c r="E16" s="42"/>
      <c r="F16" s="42"/>
      <c r="G16" s="2"/>
      <c r="H16" s="2"/>
      <c r="I16" s="11"/>
    </row>
    <row r="17" spans="1:9" ht="14.25" customHeight="1">
      <c r="A17" s="102" t="s">
        <v>15</v>
      </c>
      <c r="B17" s="85" t="s">
        <v>96</v>
      </c>
      <c r="C17" s="86">
        <f>(SP-1+Q)/Q</f>
        <v>0.2748014440433214</v>
      </c>
      <c r="D17" s="87"/>
      <c r="E17" s="87"/>
      <c r="F17" s="87"/>
      <c r="G17" s="2"/>
      <c r="H17" s="2"/>
      <c r="I17" s="11"/>
    </row>
    <row r="18" spans="1:9" ht="15.75">
      <c r="A18" s="101" t="s">
        <v>19</v>
      </c>
      <c r="B18" s="93" t="s">
        <v>20</v>
      </c>
      <c r="C18" s="42">
        <f>(TP+TN)/Total</f>
        <v>0.8338709677419355</v>
      </c>
      <c r="D18" s="42">
        <f>SQRT(EFF*(1-EFF)/Total)</f>
        <v>0.014947768033791461</v>
      </c>
      <c r="E18" s="42">
        <f>1-BETAINV((1+CI)/2,Total+1-TP-TN,TP+TN)</f>
        <v>0.8021929264068604</v>
      </c>
      <c r="F18" s="42">
        <f>BETAINV((1+CI)/2,TP+TN+1,Total-TP-TN)</f>
        <v>0.8623273372650146</v>
      </c>
      <c r="G18" s="2"/>
      <c r="H18" s="2"/>
      <c r="I18" s="11" t="str">
        <f>A18&amp;" = "&amp;TEXT(C18,"0."&amp;REPT("0",ND))&amp;" ("&amp;TEXT(CI,"0%")&amp;" CI: "&amp;TEXT(E18,"0."&amp;REPT("0",ND))&amp;" - "&amp;TEXT(F18,"0."&amp;REPT("0",ND))&amp;")"</f>
        <v>Efficiency (Correct classification rate) = 0.83 (95% CI: 0.80 - 0.86)</v>
      </c>
    </row>
    <row r="19" spans="1:9" ht="15.75">
      <c r="A19" s="140" t="s">
        <v>21</v>
      </c>
      <c r="B19" s="147" t="s">
        <v>22</v>
      </c>
      <c r="C19" s="148">
        <f>P*Q+(1-P)*(1-Q)</f>
        <v>0.7348595213319458</v>
      </c>
      <c r="D19" s="148"/>
      <c r="E19" s="148"/>
      <c r="F19" s="148"/>
      <c r="G19" s="2"/>
      <c r="H19" s="2"/>
      <c r="I19" s="11"/>
    </row>
    <row r="20" spans="1:9" ht="15.75">
      <c r="A20" s="140" t="s">
        <v>76</v>
      </c>
      <c r="B20" s="149" t="s">
        <v>97</v>
      </c>
      <c r="C20" s="148">
        <f>Kappa</f>
        <v>0.3734301412872844</v>
      </c>
      <c r="D20" s="148">
        <f>D39</f>
        <v>0.04792360204328432</v>
      </c>
      <c r="E20" s="148">
        <f>E39</f>
        <v>0.279501607273017</v>
      </c>
      <c r="F20" s="148">
        <f>F39</f>
        <v>0.46735867530155184</v>
      </c>
      <c r="G20" s="3">
        <f>G39</f>
        <v>0</v>
      </c>
      <c r="H20" s="3"/>
      <c r="I20" s="11" t="str">
        <f>A20&amp;" = "&amp;TEXT(C20,"0."&amp;REPT("0",ND))&amp;" ("&amp;TEXT(CI,"0%")&amp;" CI: "&amp;TEXT(E20,"0."&amp;REPT("0",ND))&amp;" - "&amp;TEXT(F20,"0."&amp;REPT("0",ND))&amp;")"</f>
        <v>Quality index = 0.37 (95% CI: 0.28 - 0.47)</v>
      </c>
    </row>
    <row r="21" spans="1:9" ht="15.75">
      <c r="A21" s="103" t="s">
        <v>84</v>
      </c>
      <c r="B21" s="100" t="s">
        <v>78</v>
      </c>
      <c r="C21" s="90">
        <f>SE+SP-1</f>
        <v>0.5204572803850782</v>
      </c>
      <c r="D21" s="90">
        <f>SQRT(D12^2+D15^2)</f>
        <v>0.05993606802951505</v>
      </c>
      <c r="E21" s="22">
        <f>C21+NORMSINV((1-CI)/2)*D21</f>
        <v>0.40298474567228615</v>
      </c>
      <c r="F21" s="22">
        <f>C21-NORMSINV((1-CI)/2)*D21</f>
        <v>0.6379298150978703</v>
      </c>
      <c r="G21" s="3"/>
      <c r="H21" s="3"/>
      <c r="I21" s="11" t="str">
        <f>A21&amp;" = "&amp;TEXT(C21,"0."&amp;REPT("0",ND))&amp;" ("&amp;TEXT(CI,"0%")&amp;" CI: "&amp;TEXT(E21,"0."&amp;REPT("0",ND))&amp;" - "&amp;TEXT(F21,"0."&amp;REPT("0",ND))&amp;")"</f>
        <v>Youden’s index = 0.52 (95% CI: 0.40 - 0.64)</v>
      </c>
    </row>
    <row r="22" spans="1:9" ht="15.75">
      <c r="A22" s="108" t="s">
        <v>25</v>
      </c>
      <c r="B22" s="150" t="s">
        <v>26</v>
      </c>
      <c r="C22" s="151">
        <f>TP/TestPos</f>
        <v>0.352</v>
      </c>
      <c r="D22" s="151">
        <f>SQRT(PVP*(1-PVP)/TestPos)</f>
        <v>0.04271730328567102</v>
      </c>
      <c r="E22" s="151">
        <f>1-BETAINV((1+CI)/2,TestPos+1-TP,TP)</f>
        <v>0.26872706413269043</v>
      </c>
      <c r="F22" s="151">
        <f>BETAINV((1+CI)/2,TP+1,TestPos-TP)</f>
        <v>0.44246339797973633</v>
      </c>
      <c r="G22" s="2"/>
      <c r="H22" s="2"/>
      <c r="I22" s="11" t="str">
        <f aca="true" t="shared" si="0" ref="I22:I30">A22&amp;" = "&amp;TEXT(C22,"0."&amp;REPT("0",ND))&amp;" ("&amp;TEXT(CI,"0%")&amp;" CI: "&amp;TEXT(E22,"0."&amp;REPT("0",ND))&amp;" - "&amp;TEXT(F22,"0."&amp;REPT("0",ND))&amp;")"</f>
        <v>Predictive value of positive test = 0.35 (95% CI: 0.27 - 0.44)</v>
      </c>
    </row>
    <row r="23" spans="1:9" ht="15.75">
      <c r="A23" s="101" t="s">
        <v>79</v>
      </c>
      <c r="B23" s="93" t="s">
        <v>81</v>
      </c>
      <c r="C23" s="42">
        <f>P</f>
        <v>0.1064516129032258</v>
      </c>
      <c r="D23" s="42"/>
      <c r="E23" s="42"/>
      <c r="F23" s="42"/>
      <c r="G23" s="2"/>
      <c r="H23" s="2"/>
      <c r="I23" s="11"/>
    </row>
    <row r="24" spans="1:9" ht="15.75">
      <c r="A24" s="108" t="s">
        <v>27</v>
      </c>
      <c r="B24" s="150" t="s">
        <v>28</v>
      </c>
      <c r="C24" s="151">
        <f>TN/TestNeg</f>
        <v>0.9555555555555556</v>
      </c>
      <c r="D24" s="151">
        <f>SQRT(PVN*(1-PVN)/TestNeg)</f>
        <v>0.009262625650666339</v>
      </c>
      <c r="E24" s="151">
        <f>1-BETAINV((1+CI)/2,TestNeg+1-TN,TN)</f>
        <v>0.9334814548492432</v>
      </c>
      <c r="F24" s="151">
        <f>BETAINV((1+CI)/2,TN+1,TestNeg-TN)</f>
        <v>0.9719405770301819</v>
      </c>
      <c r="G24" s="2"/>
      <c r="H24" s="2"/>
      <c r="I24" s="11" t="str">
        <f>A24&amp;" = "&amp;TEXT(C24,"0."&amp;REPT("0",ND))&amp;" ("&amp;TEXT(CI,"0%")&amp;" CI: "&amp;TEXT(E24,"0."&amp;REPT("0",ND))&amp;" - "&amp;TEXT(F24,"0."&amp;REPT("0",ND))&amp;")"</f>
        <v>Predictive value of negative test = 0.96 (95% CI: 0.93 - 0.97)</v>
      </c>
    </row>
    <row r="25" spans="1:6" ht="15">
      <c r="A25" s="103" t="s">
        <v>80</v>
      </c>
      <c r="B25" s="109" t="s">
        <v>82</v>
      </c>
      <c r="C25" s="90">
        <f>1-P</f>
        <v>0.8935483870967742</v>
      </c>
      <c r="D25" s="90"/>
      <c r="E25" s="125"/>
      <c r="F25" s="125"/>
    </row>
    <row r="26" spans="1:9" ht="15.75">
      <c r="A26" s="101" t="s">
        <v>16</v>
      </c>
      <c r="B26" s="93" t="s">
        <v>17</v>
      </c>
      <c r="C26" s="42">
        <f>FP/DisNeg</f>
        <v>0.14620938628158844</v>
      </c>
      <c r="D26" s="42">
        <f>SQRT(C26*(1-C26)/DisNeg)</f>
        <v>0.015010958791339355</v>
      </c>
      <c r="E26" s="42">
        <f>1-BETAINV((1+CI)/2,DisNeg+1-FP,FP)</f>
        <v>0.11783754825592041</v>
      </c>
      <c r="F26" s="42">
        <f>BETAINV((1+CI)/2,FP+1,DisNeg-FP)</f>
        <v>0.17841553688049316</v>
      </c>
      <c r="G26" s="2"/>
      <c r="H26" s="2"/>
      <c r="I26" s="11" t="str">
        <f t="shared" si="0"/>
        <v>False positive rate = 0.15 (95% CI: 0.12 - 0.18)</v>
      </c>
    </row>
    <row r="27" spans="1:9" ht="15.75">
      <c r="A27" s="101" t="s">
        <v>77</v>
      </c>
      <c r="B27" s="93" t="s">
        <v>18</v>
      </c>
      <c r="C27" s="42">
        <f>FN/DisPos</f>
        <v>0.3333333333333333</v>
      </c>
      <c r="D27" s="42">
        <f>SQRT(C27*(1-C27)/DisPos)</f>
        <v>0.05802588531856595</v>
      </c>
      <c r="E27" s="42">
        <f>1-BETAINV((1+CI)/2,DisPos+1-FN,FN)</f>
        <v>0.2220306396484375</v>
      </c>
      <c r="F27" s="42">
        <f>BETAINV((1+CI)/2,FN+1,DisPos-FN)</f>
        <v>0.46013879776000977</v>
      </c>
      <c r="G27" s="2"/>
      <c r="H27" s="2"/>
      <c r="I27" s="11" t="str">
        <f t="shared" si="0"/>
        <v>False negative rate = 0.33 (95% CI: 0.22 - 0.46)</v>
      </c>
    </row>
    <row r="28" spans="1:9" ht="15.75">
      <c r="A28" s="104" t="s">
        <v>23</v>
      </c>
      <c r="B28" s="94" t="s">
        <v>24</v>
      </c>
      <c r="C28" s="89">
        <f>(FP+FN)/Total</f>
        <v>0.16612903225806452</v>
      </c>
      <c r="D28" s="89">
        <f>SQRT(C28*(1-C28)/Total)</f>
        <v>0.014947768033791461</v>
      </c>
      <c r="E28" s="89">
        <f>1-BETAINV((1+CI)/2,Total+1-FP-FN,FP+FN)</f>
        <v>0.13767266273498535</v>
      </c>
      <c r="F28" s="89">
        <f>BETAINV((1+CI)/2,FN+FN+1,Total-FP-FN)</f>
        <v>0.10386192798614502</v>
      </c>
      <c r="G28" s="2"/>
      <c r="H28" s="2"/>
      <c r="I28" s="11" t="str">
        <f t="shared" si="0"/>
        <v>Misclassification rate = 0.17 (95% CI: 0.14 - 0.10)</v>
      </c>
    </row>
    <row r="29" spans="1:9" ht="15.75">
      <c r="A29" s="101" t="s">
        <v>29</v>
      </c>
      <c r="B29" s="93" t="s">
        <v>30</v>
      </c>
      <c r="C29" s="42">
        <f>DisPos/Total</f>
        <v>0.1064516129032258</v>
      </c>
      <c r="D29" s="42">
        <f>SQRT(P*(1-P)/Total)</f>
        <v>0.012386235011647168</v>
      </c>
      <c r="E29" s="42">
        <f>1-BETAINV((1+CI)/2,Total+1-DisPos,DisPos)</f>
        <v>0.08329057693481445</v>
      </c>
      <c r="F29" s="42">
        <f>BETAINV((1+CI)/2,DisPos+1,Total-DisPos)</f>
        <v>0.1334366798400879</v>
      </c>
      <c r="G29" s="2"/>
      <c r="H29" s="2"/>
      <c r="I29" s="11" t="str">
        <f t="shared" si="0"/>
        <v>Prevalence = 0.11 (95% CI: 0.08 - 0.13)</v>
      </c>
    </row>
    <row r="30" spans="1:9" ht="15.75">
      <c r="A30" s="101" t="s">
        <v>31</v>
      </c>
      <c r="B30" s="93" t="s">
        <v>32</v>
      </c>
      <c r="C30" s="42">
        <f>TestPos/Total</f>
        <v>0.20161290322580644</v>
      </c>
      <c r="D30" s="42">
        <f>SQRT(Q*(1-Q)/Total)</f>
        <v>0.016112764949580576</v>
      </c>
      <c r="E30" s="42">
        <f>1-BETAINV((1+CI)/2,Total+1-TestPos,TestPos)</f>
        <v>0.1707092523574829</v>
      </c>
      <c r="F30" s="42">
        <f>BETAINV((1+CI)/2,TestPos+1,Total-TestPos)</f>
        <v>0.23538875579833984</v>
      </c>
      <c r="G30" s="2"/>
      <c r="H30" s="2"/>
      <c r="I30" s="11" t="str">
        <f t="shared" si="0"/>
        <v>Test level = 0.20 (95% CI: 0.17 - 0.24)</v>
      </c>
    </row>
    <row r="31" spans="1:13" ht="6.75" customHeight="1">
      <c r="A31" s="105"/>
      <c r="B31" s="99"/>
      <c r="C31" s="43"/>
      <c r="D31" s="43"/>
      <c r="E31" s="43"/>
      <c r="F31" s="43"/>
      <c r="G31" s="5"/>
      <c r="H31" s="5"/>
      <c r="I31" s="12"/>
      <c r="J31" s="4"/>
      <c r="K31" s="4"/>
      <c r="L31" s="4"/>
      <c r="M31" s="4"/>
    </row>
    <row r="32" spans="1:9" ht="15.75">
      <c r="A32" s="101" t="s">
        <v>90</v>
      </c>
      <c r="B32" s="93" t="s">
        <v>36</v>
      </c>
      <c r="C32" s="42">
        <f>SE/(1-SP)</f>
        <v>4.559670781893005</v>
      </c>
      <c r="D32" s="42">
        <f>EXP(SQRT((1-SE)/(SE*DisPos)+SP/((1-SP)*DisNeg)))</f>
        <v>1.144075756573139</v>
      </c>
      <c r="E32" s="42">
        <f>EXP(LN(C32)+NORMSINV((1-CI)/2)*LN(D32))</f>
        <v>3.502387689531442</v>
      </c>
      <c r="F32" s="42">
        <f>EXP(LN(C32)-NORMSINV((1-CI)/2)*LN(D32))</f>
        <v>5.936121149977598</v>
      </c>
      <c r="G32" s="2"/>
      <c r="H32" s="2"/>
      <c r="I32" s="11" t="str">
        <f>A32&amp;" = "&amp;TEXT(C32,"0."&amp;REPT("0",ND))&amp;" ("&amp;TEXT(CI,"0%")&amp;" CI: "&amp;TEXT(E32,"0."&amp;REPT("0",ND))&amp;" - "&amp;TEXT(F32,"0."&amp;REPT("0",ND))&amp;")"</f>
        <v>Likelihood ratio of positive test = 4.56 (95% CI: 3.50 - 5.94)</v>
      </c>
    </row>
    <row r="33" spans="1:9" ht="14.25" customHeight="1">
      <c r="A33" s="101" t="s">
        <v>91</v>
      </c>
      <c r="B33" s="95" t="s">
        <v>37</v>
      </c>
      <c r="C33" s="44">
        <f>(1-SE)/SP</f>
        <v>0.390415785764623</v>
      </c>
      <c r="D33" s="42">
        <f>EXP(SQRT(SE/((1-SE)*DisPos)+(1-SP)/(SP*DisNeg)))</f>
        <v>1.1912024466268682</v>
      </c>
      <c r="E33" s="42">
        <f>EXP(LN(C33)+NORMSINV((1-CI)/2)*LN(D33))</f>
        <v>0.277075659421348</v>
      </c>
      <c r="F33" s="42">
        <f>EXP(LN(C33)-NORMSINV((1-CI)/2)*LN(D33))</f>
        <v>0.5501186430180669</v>
      </c>
      <c r="G33" s="2"/>
      <c r="H33" s="2"/>
      <c r="I33" s="11" t="str">
        <f>A33&amp;" = "&amp;TEXT(C33,"0."&amp;REPT("0",ND))&amp;" ("&amp;TEXT(CI,"0%")&amp;" CI: "&amp;TEXT(E33,"0."&amp;REPT("0",ND))&amp;" - "&amp;TEXT(F33,"0."&amp;REPT("0",ND))&amp;")"</f>
        <v>Likelihood ratio of negative test = 0.39 (95% CI: 0.28 - 0.55)</v>
      </c>
    </row>
    <row r="34" spans="1:9" ht="14.25" customHeight="1">
      <c r="A34" s="101" t="s">
        <v>123</v>
      </c>
      <c r="B34" s="95" t="s">
        <v>122</v>
      </c>
      <c r="C34" s="44">
        <f>SP/(1-SE)</f>
        <v>2.5613718411552346</v>
      </c>
      <c r="D34" s="42">
        <f>EXP(SQRT(SE/((1-SE)*DisPos)+(1-SP)/(SP*DisNeg)))</f>
        <v>1.1912024466268682</v>
      </c>
      <c r="E34" s="42">
        <f>EXP(LN(C34)+NORMSINV((1-CI)/2)*LN(D34))</f>
        <v>1.8177896944444367</v>
      </c>
      <c r="F34" s="42">
        <f>EXP(LN(C34)-NORMSINV((1-CI)/2)*LN(D34))</f>
        <v>3.6091225121991086</v>
      </c>
      <c r="G34" s="2"/>
      <c r="H34" s="2"/>
      <c r="I34" s="11" t="str">
        <f>A34&amp;" = "&amp;TEXT(C34,"0."&amp;REPT("0",ND))&amp;" ("&amp;TEXT(CI,"0%")&amp;" CI: "&amp;TEXT(E34,"0."&amp;REPT("0",ND))&amp;" - "&amp;TEXT(F34,"0."&amp;REPT("0",ND))&amp;")"</f>
        <v>Inverse of the likelihood ratio of negative test = 2.56 (95% CI: 1.82 - 3.61)</v>
      </c>
    </row>
    <row r="35" spans="1:9" ht="15.75">
      <c r="A35" s="106" t="s">
        <v>33</v>
      </c>
      <c r="B35" s="96" t="s">
        <v>34</v>
      </c>
      <c r="C35" s="42">
        <f>(TP/FN)/(FP/TN)</f>
        <v>11.679012345679013</v>
      </c>
      <c r="D35" s="42">
        <f>EXP(SQRT(1/TP+1/FP+1/TN+1/FN))</f>
        <v>1.3330567702415337</v>
      </c>
      <c r="E35" s="42">
        <f>EXP(LN(C35)+NORMSINV((1-CI)/2)*LN(D35))</f>
        <v>6.648248894252015</v>
      </c>
      <c r="F35" s="42">
        <f>EXP(LN(C35)-NORMSINV((1-CI)/2)*LN(D35))</f>
        <v>20.516579860367703</v>
      </c>
      <c r="G35" s="2"/>
      <c r="H35" s="2"/>
      <c r="I35" s="11" t="str">
        <f>A35&amp;" = "&amp;TEXT(C35,"0."&amp;REPT("0",ND))&amp;" ("&amp;TEXT(CI,"0%")&amp;" CI: "&amp;TEXT(E35,"0."&amp;REPT("0",ND))&amp;" - "&amp;TEXT(F35,"0."&amp;REPT("0",ND))&amp;")"</f>
        <v>Odds ratio = 11.68 (95% CI: 6.65 - 20.52)</v>
      </c>
    </row>
    <row r="36" spans="1:9" ht="16.5" thickBot="1">
      <c r="A36" s="106" t="s">
        <v>85</v>
      </c>
      <c r="B36" s="96" t="s">
        <v>35</v>
      </c>
      <c r="C36" s="42">
        <f>((TP+0.5)/(FN+0.5))/((FP+0.5)/(TN+0.5))</f>
        <v>11.49052488070893</v>
      </c>
      <c r="D36" s="42">
        <f>EXP(SQRT(1/(TP+0.5)+1/(FP+0.5)+1/(TN+0.5)+1/(FN+0.5)))</f>
        <v>1.3299328298269133</v>
      </c>
      <c r="E36" s="42">
        <f>EXP(LN(C36)+NORMSINV((1-CI)/2)*LN(D36))</f>
        <v>6.571100384635621</v>
      </c>
      <c r="F36" s="42">
        <f>EXP(LN(C36)-NORMSINV((1-CI)/2)*LN(D36))</f>
        <v>20.09285421097891</v>
      </c>
      <c r="G36" s="2"/>
      <c r="H36" s="2"/>
      <c r="I36" s="11" t="str">
        <f>A36&amp;" = "&amp;TEXT(C36,"0."&amp;REPT("0",ND))&amp;" ("&amp;TEXT(CI,"0%")&amp;" CI: "&amp;TEXT(E36,"0."&amp;REPT("0",ND))&amp;" - "&amp;TEXT(F36,"0."&amp;REPT("0",ND))&amp;")"</f>
        <v>Odds ratio (Haldane’s estimator) = 11.49 (95% CI: 6.57 - 20.09)</v>
      </c>
    </row>
    <row r="37" spans="1:13" ht="15.75" thickBot="1">
      <c r="A37" s="6">
        <f>IF(MIN(C5:D6)=0,"Warning: Empty cell(s) in table will result in uncalculatable values for some statistics.",IF(MIN(C5:D6)&lt;0,"Error: Cells values cannot be negative: statistics are meaningless.",""))</f>
      </c>
      <c r="B37" s="97"/>
      <c r="C37" s="18"/>
      <c r="D37" s="18"/>
      <c r="E37" s="18"/>
      <c r="F37" s="18"/>
      <c r="G37" s="5"/>
      <c r="H37" s="5"/>
      <c r="I37" s="7"/>
      <c r="J37" s="7"/>
      <c r="K37" s="7"/>
      <c r="L37" s="7"/>
      <c r="M37" s="7"/>
    </row>
    <row r="38" spans="1:13" ht="15.75" thickBot="1">
      <c r="A38" s="14" t="s">
        <v>38</v>
      </c>
      <c r="B38" s="98"/>
      <c r="C38" s="45"/>
      <c r="D38" s="45"/>
      <c r="E38" s="45"/>
      <c r="F38" s="45"/>
      <c r="G38" s="5"/>
      <c r="H38" s="5"/>
      <c r="I38" s="8"/>
      <c r="J38" s="8"/>
      <c r="K38" s="8"/>
      <c r="L38" s="8"/>
      <c r="M38" s="8"/>
    </row>
    <row r="39" spans="1:9" ht="14.25" customHeight="1">
      <c r="A39" s="20" t="s">
        <v>39</v>
      </c>
      <c r="B39" s="9" t="s">
        <v>40</v>
      </c>
      <c r="C39" s="22">
        <f>(PO-PE)/(1-PE)</f>
        <v>0.3734301412872844</v>
      </c>
      <c r="D39" s="22">
        <f>SQRT((PO*(1-PO)/(1-PE)^2+2*(1-PO)*(2*PO*PE-((TP*(P+Q)+TN*(2-P-Q))/Total))/(1-PE)^3+((1-PO)^2)*((TP*(P+Q)^2+FN*(-P+1+Q)^2+FP*(1+P-Q)^2+TN*(2-P-Q)^2)/Total-4*PE^2)/(1-PE)^4)/Total)</f>
        <v>0.04792360204328432</v>
      </c>
      <c r="E39" s="22">
        <f>C39+NORMSINV((1-CI)/2)*D39</f>
        <v>0.279501607273017</v>
      </c>
      <c r="F39" s="22">
        <f>C39-NORMSINV((1-CI)/2)*D39</f>
        <v>0.46735867530155184</v>
      </c>
      <c r="I39" s="11" t="str">
        <f>A39&amp;" = "&amp;TEXT(C39,"0."&amp;REPT("0",ND))&amp;" ("&amp;TEXT(CI,"0%")&amp;" CI: "&amp;TEXT(E39,"0."&amp;REPT("0",ND))&amp;" - "&amp;TEXT(F39,"0."&amp;REPT("0",ND))&amp;")"</f>
        <v>Cohen’s Kappa = 0.37 (95% CI: 0.28 - 0.47)</v>
      </c>
    </row>
    <row r="40" spans="1:9" ht="14.25" customHeight="1">
      <c r="A40" s="31"/>
      <c r="B40" s="24"/>
      <c r="C40" s="25" t="str">
        <f>"This kappa indicates "&amp;IF(C39&lt;0,"below chance",IF(C39=0,"poor",IF(C39&lt;=0.2,"slight",IF(C39&lt;=0.4,"fair",IF(C39&lt;=0.6,"moderate",IF(C39&lt;=0.8,"substantial","almost perfect"))))))&amp;" agreement."</f>
        <v>This kappa indicates fair agreement.</v>
      </c>
      <c r="D40" s="46"/>
      <c r="E40" s="46"/>
      <c r="F40" s="46"/>
      <c r="I40" s="13" t="str">
        <f>C40</f>
        <v>This kappa indicates fair agreement.</v>
      </c>
    </row>
    <row r="41" spans="1:9" ht="14.25" customHeight="1">
      <c r="A41" s="31"/>
      <c r="B41" s="55">
        <f>Kappa/(SQRT(PE+PE^2-Q*P*(Q+P)-(1-P-Q+P*Q)*(2-P-Q))/((1-PE)*SQRT(Total)))</f>
        <v>9.962083485260283</v>
      </c>
      <c r="C41" s="47" t="str">
        <f>"Test of Ho: Kappa=0: z="&amp;TEXT(B41,"0.00")&amp;", p ="&amp;TEXT(2-2*NORMSDIST(ABS(B41)),"0.0000")&amp;" t.t.t."</f>
        <v>Test of Ho: Kappa=0: z=9.96, p =0.0000 t.t.t.</v>
      </c>
      <c r="D41" s="48"/>
      <c r="E41" s="23"/>
      <c r="F41" s="23"/>
      <c r="I41" s="13" t="str">
        <f>C41</f>
        <v>Test of Ho: Kappa=0: z=9.96, p =0.0000 t.t.t.</v>
      </c>
    </row>
    <row r="42" spans="1:9" ht="14.25" customHeight="1">
      <c r="A42" s="31" t="s">
        <v>41</v>
      </c>
      <c r="B42" s="56" t="s">
        <v>42</v>
      </c>
      <c r="C42" s="22">
        <f>EFF</f>
        <v>0.8338709677419355</v>
      </c>
      <c r="D42" s="22">
        <f>D18</f>
        <v>0.014947768033791461</v>
      </c>
      <c r="E42" s="22">
        <f>E18</f>
        <v>0.8021929264068604</v>
      </c>
      <c r="F42" s="22">
        <f>F18</f>
        <v>0.8623273372650146</v>
      </c>
      <c r="I42" s="11" t="str">
        <f>A42&amp;" = "&amp;TEXT(C42,"0."&amp;REPT("0",ND))&amp;" ("&amp;TEXT(CI,"0%")&amp;" CI: "&amp;TEXT(E42,"0."&amp;REPT("0",ND))&amp;" - "&amp;TEXT(F42,"0."&amp;REPT("0",ND))&amp;")"</f>
        <v>Observed Agreement = 0.83 (95% CI: 0.80 - 0.86)</v>
      </c>
    </row>
    <row r="43" spans="1:9" ht="14.25" customHeight="1">
      <c r="A43" s="31" t="s">
        <v>43</v>
      </c>
      <c r="B43" s="56" t="s">
        <v>44</v>
      </c>
      <c r="C43" s="22">
        <f>EFF_RAN</f>
        <v>0.7348595213319458</v>
      </c>
      <c r="D43" s="22"/>
      <c r="E43" s="22"/>
      <c r="F43" s="22"/>
      <c r="I43" s="11" t="str">
        <f>A43&amp;" = "&amp;TEXT(C43,"0."&amp;REPT("0",ND))&amp;" ("&amp;TEXT(CI,"0%")&amp;" CI: "&amp;TEXT(E43,"0."&amp;REPT("0",ND))&amp;" - "&amp;TEXT(F43,"0."&amp;REPT("0",ND))&amp;")"</f>
        <v>Chance Agreement = 0.73 (95% CI: 0.00 - 0.00)</v>
      </c>
    </row>
    <row r="44" spans="1:13" ht="6.75" customHeight="1">
      <c r="A44" s="57"/>
      <c r="B44" s="43"/>
      <c r="C44" s="43"/>
      <c r="D44" s="43"/>
      <c r="E44" s="43"/>
      <c r="F44" s="43"/>
      <c r="G44" s="5"/>
      <c r="H44" s="5"/>
      <c r="I44" s="12"/>
      <c r="J44" s="4"/>
      <c r="K44" s="4"/>
      <c r="L44" s="4"/>
      <c r="M44" s="4"/>
    </row>
    <row r="45" spans="1:9" ht="14.25" customHeight="1">
      <c r="A45" s="20" t="s">
        <v>75</v>
      </c>
      <c r="B45" s="21" t="s">
        <v>45</v>
      </c>
      <c r="C45" s="22">
        <f>2*TP/(DisPos+TestPos)</f>
        <v>0.4607329842931937</v>
      </c>
      <c r="D45" s="22">
        <f>SQRT(4*TP*(FP+FN)*(TP+FP+FN))/(TestPos+DisPos)^2</f>
        <v>0.044747304483995005</v>
      </c>
      <c r="E45" s="22">
        <f>C45+NORMSINV((1-CI)/2)*D45</f>
        <v>0.3730298790993158</v>
      </c>
      <c r="F45" s="22">
        <f>C45-NORMSINV((1-CI)/2)*D45</f>
        <v>0.5484360894870716</v>
      </c>
      <c r="I45" s="11" t="str">
        <f>A45&amp;" = "&amp;TEXT(C45,"0."&amp;REPT("0",ND))&amp;" ("&amp;TEXT(CI,"0%")&amp;" CI: "&amp;TEXT(E45,"0."&amp;REPT("0",ND))&amp;" - "&amp;TEXT(F45,"0."&amp;REPT("0",ND))&amp;")"</f>
        <v>Positive Agreement = 0.46 (95% CI: 0.37 - 0.55)</v>
      </c>
    </row>
    <row r="46" spans="1:9" ht="14.25" customHeight="1">
      <c r="A46" s="20" t="s">
        <v>46</v>
      </c>
      <c r="B46" s="21" t="s">
        <v>47</v>
      </c>
      <c r="C46" s="22">
        <f>2*TN/(DisNeg+TestNeg)</f>
        <v>0.9018112488083889</v>
      </c>
      <c r="D46" s="49">
        <f>SQRT(4*TN*(FP+FN)*(TN+FP+FN))/(TestNeg+DisNeg)^2</f>
        <v>0.009628074535810527</v>
      </c>
      <c r="E46" s="22">
        <f>C46+NORMSINV((1-CI)/2)*D46</f>
        <v>0.8829405694777331</v>
      </c>
      <c r="F46" s="22">
        <f>C46-NORMSINV((1-CI)/2)*D46</f>
        <v>0.9206819281390447</v>
      </c>
      <c r="I46" s="11" t="str">
        <f>A46&amp;" = "&amp;TEXT(C46,"0."&amp;REPT("0",ND))&amp;" ("&amp;TEXT(CI,"0%")&amp;" CI: "&amp;TEXT(E46,"0."&amp;REPT("0",ND))&amp;" - "&amp;TEXT(F46,"0."&amp;REPT("0",ND))&amp;")"</f>
        <v>Negative Agreement = 0.90 (95% CI: 0.88 - 0.92)</v>
      </c>
    </row>
    <row r="47" spans="1:13" ht="6.75" customHeight="1" thickBot="1">
      <c r="A47" s="57"/>
      <c r="B47" s="43"/>
      <c r="C47" s="43"/>
      <c r="D47" s="43"/>
      <c r="E47" s="43"/>
      <c r="F47" s="43"/>
      <c r="G47" s="5"/>
      <c r="H47" s="5"/>
      <c r="I47" s="12"/>
      <c r="J47" s="4"/>
      <c r="K47" s="4"/>
      <c r="L47" s="4"/>
      <c r="M47" s="4"/>
    </row>
    <row r="48" spans="1:6" ht="14.25" customHeight="1">
      <c r="A48" s="58" t="s">
        <v>86</v>
      </c>
      <c r="B48" s="59" t="s">
        <v>48</v>
      </c>
      <c r="C48" s="50">
        <f>(FN-FP)/Total</f>
        <v>-0.09516129032258064</v>
      </c>
      <c r="D48" s="51"/>
      <c r="E48" s="52"/>
      <c r="F48" s="53"/>
    </row>
    <row r="49" spans="1:6" ht="14.25" customHeight="1">
      <c r="A49" s="20" t="s">
        <v>92</v>
      </c>
      <c r="B49" s="21" t="s">
        <v>49</v>
      </c>
      <c r="C49" s="22">
        <f>(TN-TP)/Total</f>
        <v>0.6919354838709677</v>
      </c>
      <c r="D49" s="49"/>
      <c r="E49" s="54"/>
      <c r="F49" s="23"/>
    </row>
    <row r="50" spans="1:6" ht="14.25" customHeight="1">
      <c r="A50" s="20" t="s">
        <v>50</v>
      </c>
      <c r="B50" s="21" t="s">
        <v>51</v>
      </c>
      <c r="C50" s="22">
        <f>(PO-0.25*((DisPos+TestPos)^2+(DisNeg+TestNeg)^2)/Total^2)/(1-0.25*((DisPos+TestPos)^2+(DisNeg+TestNeg)^2)/Total^2)</f>
        <v>0.3625442331015827</v>
      </c>
      <c r="D50" s="49"/>
      <c r="E50" s="54"/>
      <c r="F50" s="23"/>
    </row>
    <row r="51" spans="1:6" ht="14.25" customHeight="1" thickBot="1">
      <c r="A51" s="20" t="s">
        <v>52</v>
      </c>
      <c r="B51" s="21" t="s">
        <v>53</v>
      </c>
      <c r="C51" s="22">
        <f>Kappa+(1-Kappa)*(PI^2-BI^2)</f>
        <v>0.6677419354838711</v>
      </c>
      <c r="D51" s="49"/>
      <c r="E51" s="54"/>
      <c r="F51" s="23"/>
    </row>
    <row r="52" spans="1:13" ht="14.25" customHeight="1" thickBot="1">
      <c r="A52" s="14" t="s">
        <v>117</v>
      </c>
      <c r="B52" s="15"/>
      <c r="C52" s="16"/>
      <c r="D52" s="17"/>
      <c r="E52" s="18"/>
      <c r="F52" s="19"/>
      <c r="I52" s="19"/>
      <c r="J52" s="19"/>
      <c r="K52" s="19"/>
      <c r="L52" s="19"/>
      <c r="M52" s="19"/>
    </row>
    <row r="53" spans="1:9" ht="14.25" customHeight="1">
      <c r="A53" s="20" t="s">
        <v>87</v>
      </c>
      <c r="B53" s="21" t="s">
        <v>55</v>
      </c>
      <c r="C53" s="22">
        <f>PA</f>
        <v>0.4607329842931937</v>
      </c>
      <c r="D53" s="22">
        <f>D45</f>
        <v>0.044747304483995005</v>
      </c>
      <c r="E53" s="22">
        <f>E45</f>
        <v>0.3730298790993158</v>
      </c>
      <c r="F53" s="22">
        <f>F45</f>
        <v>0.5484360894870716</v>
      </c>
      <c r="I53" s="11" t="str">
        <f>A53&amp;" = "&amp;TEXT(C53,"0."&amp;REPT("0",ND))&amp;" ("&amp;TEXT(CI,"0%")&amp;" CI: "&amp;TEXT(E53,"0."&amp;REPT("0",ND))&amp;" - "&amp;TEXT(F53,"0."&amp;REPT("0",ND))&amp;")"</f>
        <v>Dice’s Index = 0.46 (95% CI: 0.37 - 0.55)</v>
      </c>
    </row>
    <row r="54" spans="1:9" ht="14.25" customHeight="1">
      <c r="A54" s="20" t="s">
        <v>116</v>
      </c>
      <c r="B54" s="60" t="s">
        <v>56</v>
      </c>
      <c r="C54" s="22">
        <f>(OddR-1)/(OddR+1)</f>
        <v>0.8422590068159689</v>
      </c>
      <c r="D54" s="22">
        <f>0.5*(1-Yules_Q^2)*SQRT(1/TP+1/FP+1/TN+1/FN)</f>
        <v>0.0417700298227863</v>
      </c>
      <c r="E54" s="22">
        <f>C54+NORMSINV((1-CI)/2)*D54</f>
        <v>0.7603912527301437</v>
      </c>
      <c r="F54" s="22">
        <f>C54-NORMSINV((1-CI)/2)*D54</f>
        <v>0.924126760901794</v>
      </c>
      <c r="I54" s="11" t="str">
        <f>A54&amp;" = "&amp;TEXT(C54,"0."&amp;REPT("0",ND))&amp;" ("&amp;TEXT(CI,"0%")&amp;" CI: "&amp;TEXT(E54,"0."&amp;REPT("0",ND))&amp;" - "&amp;TEXT(F54,"0."&amp;REPT("0",ND))&amp;")"</f>
        <v>Yule’s Q (Gamma) = 0.84 (95% CI: 0.76 - 0.92)</v>
      </c>
    </row>
    <row r="55" spans="1:9" ht="14.25" customHeight="1">
      <c r="A55" s="20" t="s">
        <v>57</v>
      </c>
      <c r="B55" s="60" t="s">
        <v>58</v>
      </c>
      <c r="C55" s="22">
        <f>(TP*TN-FN*FP)/SQRT(DisPos*DisNeg*TestPos*TestNeg)</f>
        <v>0.4000869005750704</v>
      </c>
      <c r="D55" s="22">
        <f>SQRT((1-Phi^2+(Phi+0.5*Phi^3)*((DisPos-DisNeg)*(TestPos-TestNeg)/SQRT(DisPos*DisNeg*TestPos*TestNeg))-0.75*Phi^2*((DisPos-DisNeg)^2/(DisPos*DisNeg)+(TestPos-TestNeg)^2/(TestPos*TestNeg)))/Total)</f>
        <v>0.048071282061211536</v>
      </c>
      <c r="E55" s="22">
        <f>C55+NORMSINV((1-CI)/2)*D55</f>
        <v>0.30586891904442937</v>
      </c>
      <c r="F55" s="22">
        <f>C55-NORMSINV((1-CI)/2)*D55</f>
        <v>0.49430488210571144</v>
      </c>
      <c r="I55" s="11" t="str">
        <f>A55&amp;" = "&amp;TEXT(C55,"0."&amp;REPT("0",ND))&amp;" ("&amp;TEXT(CI,"0%")&amp;" CI: "&amp;TEXT(E55,"0."&amp;REPT("0",ND))&amp;" - "&amp;TEXT(F55,"0."&amp;REPT("0",ND))&amp;")"</f>
        <v>Phi = 0.40 (95% CI: 0.31 - 0.49)</v>
      </c>
    </row>
    <row r="56" spans="1:9" ht="14.25" customHeight="1">
      <c r="A56" s="20" t="s">
        <v>89</v>
      </c>
      <c r="B56" s="60" t="s">
        <v>59</v>
      </c>
      <c r="C56" s="22">
        <f>BAK</f>
        <v>0.3625442331015827</v>
      </c>
      <c r="D56" s="22"/>
      <c r="E56" s="22"/>
      <c r="F56" s="22"/>
      <c r="I56" s="11" t="str">
        <f>A56&amp;" = "&amp;TEXT(C56,"0."&amp;REPT("0",ND))</f>
        <v>Scott’s agreement index = 0.36</v>
      </c>
    </row>
    <row r="57" spans="1:9" ht="14.25" customHeight="1">
      <c r="A57" s="20" t="s">
        <v>83</v>
      </c>
      <c r="B57" s="24" t="s">
        <v>62</v>
      </c>
      <c r="C57" s="22">
        <f>COS(PI()/(1+SQRT(TP*TN/FN/FP)))</f>
        <v>0.7575943144005918</v>
      </c>
      <c r="D57" s="22">
        <f>0.375*(1-C57^2)*SQRT((1/(TP))+(1/(FP))+(1/(TN))+(1/(FN)))</f>
        <v>0.04592955421969108</v>
      </c>
      <c r="E57" s="22">
        <f aca="true" t="shared" si="1" ref="E57:E62">C57+NORMSINV((1-CI)/2)*D57</f>
        <v>0.6675740423040175</v>
      </c>
      <c r="F57" s="22">
        <f aca="true" t="shared" si="2" ref="F57:F62">C57-NORMSINV((1-CI)/2)*D57</f>
        <v>0.847614586497166</v>
      </c>
      <c r="I57" s="11" t="str">
        <f aca="true" t="shared" si="3" ref="I57:I62">A57&amp;" = "&amp;TEXT(C57,"0."&amp;REPT("0",ND))&amp;" ("&amp;TEXT(CI,"0%")&amp;" CI: "&amp;TEXT(E57,"0."&amp;REPT("0",ND))&amp;" - "&amp;TEXT(F57,"0."&amp;REPT("0",ND))&amp;")"</f>
        <v>Tetrachoric Correlation = 0.76 (95% CI: 0.67 - 0.85)</v>
      </c>
    </row>
    <row r="58" spans="1:9" ht="14.25" customHeight="1">
      <c r="A58" s="20" t="s">
        <v>115</v>
      </c>
      <c r="B58" s="121" t="s">
        <v>114</v>
      </c>
      <c r="C58" s="22">
        <f>(Total*((TP^2+FP^2)/TestPos+(FN^2+TN^2)/TestNeg)-DisPos^2-DisNeg^2)/(Total^2-DisPos^2-DisNeg^2)</f>
        <v>0.1600695280117669</v>
      </c>
      <c r="D58" s="22">
        <f>E7*SQRT(C5*(2*(E7-((C5^2+D5^2)/E5+(C6^2+D6^2)/E6))*(E7-C7)+(E7^2-C7^2-D7^2)*(2*C5/E5-(C5^2+D5^2)/E5^2-(E7-((C5^2+D5^2)/E5+(C6^2+D6^2)/E6))/E7-1))^2+D5*(2*(E7-((C5^2+D5^2)/E5+(C6^2+D6^2)/E6))*(E7-D7)+(E7^2-C7^2-D7^2)*(2*D5/E5-(C5^2+D5^2)/E5^2-(E7-((C5^2+D5^2)/E5+(C6^2+D6^2)/E6))/E7-1))^2+C6*(2*(E7-((C5^2+D5^2)/E5+(C6^2+D6^2)/E6))*(E7-C7)+(E7^2-C7^2-D7^2)*(2*C6/E6-(C6^2+D6^2)/E6^2-(E7-((C5^2+D5^2)/E5+(C6^2+D6^2)/E6))/E7-1))^2+D6*(2*(E7-((C5^2+D5^2)/E5+(C6^2+D6^2)/E6))*(E7-D7)+(E7^2-C7^2-D7^2)*(2*D6/E6-(C6^2+D6^2)/E6^2-(E7-((C5^2+D5^2)/E5+(C6^2+D6^2)/E6))/E7-1))^2)/(E7^2-C7^2-D7^2)^2</f>
        <v>0.03846538049308021</v>
      </c>
      <c r="E58" s="22">
        <f t="shared" si="1"/>
        <v>0.08467876759370013</v>
      </c>
      <c r="F58" s="22">
        <f t="shared" si="2"/>
        <v>0.2354602884298337</v>
      </c>
      <c r="I58" s="11" t="str">
        <f t="shared" si="3"/>
        <v>Goodman &amp; Kruskal’s tau (Crit. dep.) = 0.16 (95% CI: 0.08 - 0.24)</v>
      </c>
    </row>
    <row r="59" spans="1:9" ht="14.25" customHeight="1">
      <c r="A59" s="20" t="s">
        <v>101</v>
      </c>
      <c r="B59" s="60" t="s">
        <v>98</v>
      </c>
      <c r="C59" s="22">
        <f>((MAX(TP,FP)+MAX(FN,TN)+MAX(TP,FN)+MAX(FP,TN)-MAX(DisPos,DisNeg)-MAX(TestPos,TestNeg))/(2*Total-MAX(DisPos,DisNeg)-MAX(TestPos,TestNeg)))</f>
        <v>0.11518324607329843</v>
      </c>
      <c r="D59" s="22">
        <f>IF(OR(lambda_sym=0,lambda_sym=1),0,SQRT((TP*(IF(TP&gt;FN,1,0)+IF(TP&gt;FP,1,0)+(IF(TestPos&gt;TestNeg,1,0)+IF(DisPos&gt;DisNeg,1,0))*(lambda_sym-1))^2+FN*(IF(TP&gt;FN,0,1)+IF(FN&gt;TN,1,0)+(IF(TestPos&gt;TestNeg,0,1)+IF(DisPos&gt;DisNeg,1,0))*(lambda_sym-1))^2+FP*(IF(FP&gt;TN,1,0)+IF(TP&gt;FP,0,1)+(IF(TestPos&gt;TestNeg,1,0)+IF(DisPos&lt;DisNeg,1,0))*(lambda_sym-1))^2+TN*(IF(FP&gt;TN,0,1)+IF(FN&gt;TN,0,1)+(IF(TestPos&gt;TestNeg,0,1)+IF(DisPos&lt;DisNeg,1,0))*(lambda_sym-1))^2-4*Total*lambda_sym^2)/(2*Total-MAX(DisPos,DisNeg)-MAX(TestPos,TestNeg))^2))</f>
        <v>0.038650431264611054</v>
      </c>
      <c r="E59" s="22">
        <f t="shared" si="1"/>
        <v>0.03942979280771984</v>
      </c>
      <c r="F59" s="22">
        <f t="shared" si="2"/>
        <v>0.19093669933887703</v>
      </c>
      <c r="I59" s="11" t="str">
        <f t="shared" si="3"/>
        <v>Lambda(Symmetric) = 0.12 (95% CI: 0.04 - 0.19)</v>
      </c>
    </row>
    <row r="60" spans="1:9" ht="14.25" customHeight="1">
      <c r="A60" s="20" t="s">
        <v>100</v>
      </c>
      <c r="B60" s="60" t="s">
        <v>99</v>
      </c>
      <c r="C60" s="22">
        <f>(MAX(TP,FP)+MAX(FN,TN)-MAX(DisPos,DisNeg))/(Total-MAX(DisPos,DisNeg))</f>
        <v>0</v>
      </c>
      <c r="D60" s="22">
        <f>IF(OR(lambda_asy=0,lambda_asy=1),0,SQRT((Total-MAX(TP,FP)-MAX(FN,TN))*(MAX(TP,FP)+MAX(FN,TN)+MAX(DisPos,DisNeg)-2*IF(DisPos&gt;DisNeg,MAX(TP,FN),MAX(FP,TN)))/(Total-MAX(DisPos,DisNeg))^3))</f>
        <v>0</v>
      </c>
      <c r="E60" s="22">
        <f t="shared" si="1"/>
        <v>0</v>
      </c>
      <c r="F60" s="22">
        <f t="shared" si="2"/>
        <v>0</v>
      </c>
      <c r="I60" s="11" t="str">
        <f t="shared" si="3"/>
        <v>Lambda(Criterion dep.) = 0.00 (95% CI: 0.00 - 0.00)</v>
      </c>
    </row>
    <row r="61" spans="1:9" ht="14.25" customHeight="1">
      <c r="A61" s="20" t="s">
        <v>93</v>
      </c>
      <c r="B61" s="24" t="s">
        <v>60</v>
      </c>
      <c r="C61" s="22">
        <f>2*(DisPos*LN(DisPos/Total)+DisNeg*LN(DisNeg/Total)+TestPos*LN(TestPos/Total)+TestNeg*LN(TestNeg/Total)-(TP*LN(TP/Total)+FN*LN(FN/Total)+FP*LN(FP/Total)+TN*LN(TN/Total)))/(DisPos*LN(DisPos/Total)+DisNeg*LN(DisNeg/Total)+TestPos*LN(TestPos/Total)+TestNeg*LN(TestNeg/Total))</f>
        <v>0.1499111433205401</v>
      </c>
      <c r="D61" s="22">
        <f>2*SQRT(TP*(-(TP*LN(TP/E7)+FN*LN(FN/E7)+FP*LN(FP/E7)+TN*LN(TN/E7))/E7*LN(E5*C7/E7^2)-(-(E5*LN(E5/E7)+E6*LN(E6/E7))/E7+-(C7*LN(C7/E7)+D7*LN(D7/E7))/E7)*LN(TP/E7))^2+FN*(-(TP*LN(TP/E7)+FN*LN(FN/E7)+FP*LN(FP/E7)+TN*LN(TN/E7))/E7*LN(E5*D7/E7^2)-(-(E5*LN(E5/E7)+E6*LN(E6/E7))/E7+-(C7*LN(C7/E7)+D7*LN(D7/E7))/E7)*LN(FN/E7))^2+FP*(-(TP*LN(TP/E7)+FN*LN(FN/E7)+FP*LN(FP/E7)+TN*LN(TN/E7))/E7*LN(E6*C7/E7^2)-(-(E5*LN(E5/E7)+E6*LN(E6/E7))/E7+-(C7*LN(C7/E7)+D7*LN(D7/E7))/E7)*LN(FP/E7))^2+TN*(-(TP*LN(TP/E7)+FN*LN(FN/E7)+FP*LN(FP/E7)+TN*LN(TN/E7))/E7*LN(E6*D7/E7^2)-(-(E5*LN(E5/E7)+E6*LN(E6/E7))/E7+-(C7*LN(C7/E7)+D7*LN(D7/E7))/E7)*LN(TN/E7))^2)/E7/(-(C7*LN(C7/E7)+D7*LN(D7/E7))/E7+-(E5*LN(E5/E7)+E6*LN(E6/E7))/E7)^2</f>
        <v>0.033876376587753894</v>
      </c>
      <c r="E61" s="22">
        <f t="shared" si="1"/>
        <v>0.08351466528182655</v>
      </c>
      <c r="F61" s="22">
        <f t="shared" si="2"/>
        <v>0.21630762135925363</v>
      </c>
      <c r="I61" s="11" t="str">
        <f t="shared" si="3"/>
        <v>Uncertainty Coefficient (Symmetric) = 0.15 (95% CI: 0.08 - 0.22)</v>
      </c>
    </row>
    <row r="62" spans="1:9" ht="14.25" customHeight="1">
      <c r="A62" s="20" t="s">
        <v>94</v>
      </c>
      <c r="B62" s="24" t="s">
        <v>61</v>
      </c>
      <c r="C62" s="22">
        <f>(DisPos*LN(DisPos/Total)+DisNeg*LN(DisNeg/Total)+TestPos*LN(TestPos/Total)+TestNeg*LN(TestNeg/Total)-(TP*LN(TP/Total)+FN*LN(FN/Total)+FP*LN(FP/Total)+TN*LN(TN/Total)))/(DisPos*LN(DisPos/Total)+DisNeg*LN(DisNeg/Total))</f>
        <v>0.18608070830929127</v>
      </c>
      <c r="D62" s="22">
        <f>SQRT(TP*(-(DisPos*LN(DisPos/Total)+DisNeg*LN(DisNeg/Total))/Total*LN(TP/TestPos)+(-(TestPos*LN(TestPos/Total)+TestNeg*LN(TestNeg/Total))/Total+(TP*LN(TP/Total)+FN*LN(FN/Total)+FP*LN(FP/Total)+TN*LN(TN/Total))/Total)*LN(DisPos/Total))^2+FN*(-(DisPos*LN(DisPos/Total)+DisNeg*LN(DisNeg/Total))/Total*LN(FN/TestNeg)+(-(TestPos*LN(TestPos/Total)+TestNeg*LN(TestNeg/Total))/Total+(TP*LN(TP/Total)+FN*LN(FN/Total)+FP*LN(FP/Total)+TN*LN(TN/Total))/Total)*LN(DisPos/Total))^2+FP*(-(DisPos*LN(DisPos/Total)+DisNeg*LN(DisNeg/Total))/Total*LN(FP/TestPos)+(-(TestPos*LN(TestPos/Total)+TestNeg*LN(TestNeg/Total))/Total+(TP*LN(TP/Total)+FN*LN(FN/Total)+FP*LN(FP/Total)+TN*LN(TN/Total))/Total)*LN(DisNeg/Total))^2+TN*(-(DisPos*LN(DisPos/Total)+DisNeg*LN(DisNeg/Total))/Total*LN(TN/TestNeg)+(-(TestPos*LN(TestPos/Total)+TestNeg*LN(TestNeg/Total))/Total+(TP*LN(TP/Total)+FN*LN(FN/Total)+FP*LN(FP/Total)+TN*LN(TN/Total))/Total)*LN(DisNeg/Total))^2)/Total/((DisPos*LN(DisPos/Total)+DisNeg*LN(DisNeg/Total))/Total)^2</f>
        <v>0.04087756345603517</v>
      </c>
      <c r="E62" s="22">
        <f t="shared" si="1"/>
        <v>0.10596215615971166</v>
      </c>
      <c r="F62" s="22">
        <f t="shared" si="2"/>
        <v>0.2661992604588709</v>
      </c>
      <c r="I62" s="11" t="str">
        <f t="shared" si="3"/>
        <v>Uncertainty Coeff. (Criterion dep.) = 0.19 (95% CI: 0.11 - 0.27)</v>
      </c>
    </row>
    <row r="63" ht="15.75" thickBot="1"/>
    <row r="64" spans="1:6" s="10" customFormat="1" ht="14.25" customHeight="1">
      <c r="A64" s="27" t="s">
        <v>1</v>
      </c>
      <c r="B64" s="28" t="s">
        <v>63</v>
      </c>
      <c r="C64" s="27" t="s">
        <v>30</v>
      </c>
      <c r="D64" s="29"/>
      <c r="E64" s="29"/>
      <c r="F64" s="29"/>
    </row>
    <row r="65" spans="1:9" ht="14.25" customHeight="1">
      <c r="A65" s="20" t="s">
        <v>64</v>
      </c>
      <c r="B65" s="30">
        <f>Total*(TP*TN-FN*FP)^2/(DisPos*DisNeg*TestPos*TestNeg)</f>
        <v>99.2431073672951</v>
      </c>
      <c r="C65" s="31">
        <f>CHIDIST(B65,1)</f>
        <v>2.2333253088823116E-23</v>
      </c>
      <c r="D65" s="122">
        <f>TestPos*DisPos/Total</f>
        <v>13.306451612903226</v>
      </c>
      <c r="E65" s="122">
        <f>TestNeg*DisPos/Total</f>
        <v>52.693548387096776</v>
      </c>
      <c r="F65" s="119"/>
      <c r="I65" s="11" t="str">
        <f>A65&amp;" = "&amp;TEXT(B65,"0."&amp;REPT("0",ND))&amp;", df=1, p="&amp;TEXT(C65,"0."&amp;REPT("0",ND+2))</f>
        <v>Pearson Chi Square = 99.24, df=1, p=0.0000</v>
      </c>
    </row>
    <row r="66" spans="1:9" ht="14.25" customHeight="1">
      <c r="A66" s="32" t="s">
        <v>65</v>
      </c>
      <c r="B66" s="30">
        <f>Total*(ABS(TP*TN-FN*FP)-0.5*Total)^2/(DisPos*DisNeg*TestPos*TestNeg)</f>
        <v>96.03608914879017</v>
      </c>
      <c r="C66" s="31">
        <f>CHIDIST(B66,1)</f>
        <v>1.1280826581004803E-22</v>
      </c>
      <c r="D66" s="122">
        <f>TestPos*DisNeg/Total</f>
        <v>111.69354838709677</v>
      </c>
      <c r="E66" s="122">
        <f>TestNeg*DisNeg/Total</f>
        <v>442.30645161290323</v>
      </c>
      <c r="F66" s="33"/>
      <c r="I66" s="11" t="str">
        <f>A65&amp;" "&amp;TRIM(A66)&amp;" = "&amp;TEXT(B66,"0."&amp;REPT("0",ND))&amp;", df=1, p="&amp;TEXT(C66,"0."&amp;REPT("0",ND+2))</f>
        <v>Pearson Chi Square with Yate’s correction = 96.04, df=1, p=0.0000</v>
      </c>
    </row>
    <row r="67" spans="1:9" ht="14.25" customHeight="1" thickBot="1">
      <c r="A67" s="34" t="s">
        <v>66</v>
      </c>
      <c r="B67" s="35">
        <f>2*(TP*LN(TP/D65)+D5*LN(D5/E65)+C6*LN(C6/D66)+D6*LN(D6/E66))</f>
        <v>78.22819093934946</v>
      </c>
      <c r="C67" s="36">
        <f>CHIDIST(B67,1)</f>
        <v>9.179903188242534E-19</v>
      </c>
      <c r="D67" s="29"/>
      <c r="E67" s="29"/>
      <c r="F67" s="29"/>
      <c r="I67" s="11" t="str">
        <f>A67&amp;" = "&amp;TEXT(B67,"0."&amp;REPT("0",ND))&amp;", df=1, p="&amp;TEXT(C67,"0."&amp;REPT("0",ND+2))</f>
        <v>Likelihood Ratio Chi Square = 78.23, df=1, p=0.0000</v>
      </c>
    </row>
    <row r="68" spans="1:6" ht="14.25" customHeight="1">
      <c r="A68" s="113"/>
      <c r="B68" s="114"/>
      <c r="C68" s="115"/>
      <c r="D68" s="26"/>
      <c r="E68" s="26"/>
      <c r="F68" s="26"/>
    </row>
    <row r="69" spans="1:6" ht="14.25" customHeight="1">
      <c r="A69" s="108" t="s">
        <v>67</v>
      </c>
      <c r="B69" s="111">
        <f>MIN(D65:E66)</f>
        <v>13.306451612903226</v>
      </c>
      <c r="C69" s="112"/>
      <c r="D69" s="26"/>
      <c r="E69" s="26"/>
      <c r="F69" s="26"/>
    </row>
    <row r="70" spans="1:6" ht="14.25" customHeight="1">
      <c r="A70" s="20" t="s">
        <v>68</v>
      </c>
      <c r="B70" s="39">
        <f>IF(D65&lt;5,1,0)+IF(D66&lt;5,1,0)+IF(E65&lt;5,1,0)+IF(E66&lt;5,1,0)</f>
        <v>0</v>
      </c>
      <c r="C70" s="31" t="str">
        <f>" of 4 ("&amp;TEXT(B70/4,"0%")&amp;")"</f>
        <v> of 4 (0%)</v>
      </c>
      <c r="D70" s="26"/>
      <c r="E70" s="26"/>
      <c r="F70" s="26"/>
    </row>
    <row r="71" spans="1:6" ht="14.25" customHeight="1">
      <c r="A71" s="103" t="s">
        <v>69</v>
      </c>
      <c r="B71" s="117">
        <f>IF(D65&lt;1,1,0)+IF(D66&lt;1,1,0)+IF(E65&lt;1,1,0)+IF(E66&lt;1,1,0)</f>
        <v>0</v>
      </c>
      <c r="C71" s="118" t="str">
        <f>" of 4 ("&amp;TEXT(B71/4,"0%")&amp;")"</f>
        <v> of 4 (0%)</v>
      </c>
      <c r="D71" s="26"/>
      <c r="E71" s="26"/>
      <c r="F71" s="26"/>
    </row>
    <row r="72" spans="1:6" ht="14.25" customHeight="1" thickBot="1">
      <c r="A72" s="116">
        <f>IF(Total&lt;21,"Note: With small N, Fisher’s Exact test should be considered.","")</f>
      </c>
      <c r="B72" s="37"/>
      <c r="C72" s="38"/>
      <c r="D72" s="26"/>
      <c r="E72" s="26"/>
      <c r="F72" s="26"/>
    </row>
    <row r="73" spans="1:6" s="10" customFormat="1" ht="14.25" customHeight="1">
      <c r="A73" s="27" t="s">
        <v>1</v>
      </c>
      <c r="B73" s="28" t="s">
        <v>63</v>
      </c>
      <c r="C73" s="27" t="s">
        <v>30</v>
      </c>
      <c r="D73" s="29"/>
      <c r="E73" s="29"/>
      <c r="F73" s="29"/>
    </row>
    <row r="74" spans="1:9" ht="14.25" customHeight="1">
      <c r="A74" s="40" t="s">
        <v>70</v>
      </c>
      <c r="B74" s="41">
        <f>(FP-FN)^2/(FP+FN)</f>
        <v>33.79611650485437</v>
      </c>
      <c r="C74" s="31">
        <f>CHIDIST(B74,1)</f>
        <v>6.120091199441233E-09</v>
      </c>
      <c r="D74" s="26"/>
      <c r="E74" s="26"/>
      <c r="F74" s="26"/>
      <c r="I74" s="11" t="str">
        <f>A74&amp;" = "&amp;TEXT(B74,"0."&amp;REPT("0",ND))&amp;", df=1, p="&amp;TEXT(C74,"0."&amp;REPT("0",ND+2))</f>
        <v>McNemar’s Test = 33.80, df=1, p=0.0000</v>
      </c>
    </row>
    <row r="75" spans="1:9" ht="14.25" customHeight="1" thickBot="1">
      <c r="A75" s="34" t="s">
        <v>65</v>
      </c>
      <c r="B75" s="35">
        <f>(ABS(FP-FN)-1)^2/(FP+FN)</f>
        <v>32.66019417475728</v>
      </c>
      <c r="C75" s="36">
        <f>CHIDIST(B75,1)</f>
        <v>1.0976222117721865E-08</v>
      </c>
      <c r="D75" s="26"/>
      <c r="E75" s="26"/>
      <c r="F75" s="26"/>
      <c r="I75" s="11" t="str">
        <f>A74&amp;" "&amp;TRIM(A75)&amp;" = "&amp;TEXT(B75,"0."&amp;REPT("0",ND))&amp;", df=1, p="&amp;TEXT(C75,"0."&amp;REPT("0",ND+2))</f>
        <v>McNemar’s Test with Yate’s correction = 32.66, df=1, p=0.0000</v>
      </c>
    </row>
    <row r="76" ht="14.25" customHeight="1"/>
    <row r="82" spans="1:2" ht="14.25">
      <c r="A82" s="10"/>
      <c r="B82" s="10"/>
    </row>
    <row r="83" spans="1:2" ht="14.25">
      <c r="A83" s="10"/>
      <c r="B83" s="10"/>
    </row>
    <row r="84" spans="1:2" ht="14.25">
      <c r="A84" s="10"/>
      <c r="B84" s="10"/>
    </row>
    <row r="85" spans="1:2" ht="14.25">
      <c r="A85" s="10"/>
      <c r="B85" s="10"/>
    </row>
    <row r="86" spans="1:2" ht="14.25">
      <c r="A86" s="10"/>
      <c r="B86" s="10"/>
    </row>
    <row r="87" spans="1:2" ht="14.25">
      <c r="A87" s="10"/>
      <c r="B87" s="10"/>
    </row>
    <row r="88" spans="1:2" ht="14.25">
      <c r="A88" s="10"/>
      <c r="B88" s="10"/>
    </row>
    <row r="89" spans="1:2" ht="14.25">
      <c r="A89" s="10"/>
      <c r="B89" s="10"/>
    </row>
    <row r="90" spans="1:2" ht="14.25">
      <c r="A90" s="10"/>
      <c r="B90" s="10"/>
    </row>
    <row r="91" spans="1:2" ht="14.25">
      <c r="A91" s="10"/>
      <c r="B91" s="10"/>
    </row>
    <row r="92" spans="1:2" ht="14.25">
      <c r="A92" s="10"/>
      <c r="B92" s="10"/>
    </row>
    <row r="93" spans="1:2" ht="14.25">
      <c r="A93" s="10"/>
      <c r="B93" s="10"/>
    </row>
    <row r="94" spans="1:2" ht="14.25">
      <c r="A94" s="10"/>
      <c r="B94" s="10"/>
    </row>
    <row r="95" spans="1:2" ht="14.25">
      <c r="A95" s="10"/>
      <c r="B95" s="10"/>
    </row>
    <row r="96" spans="1:2" ht="14.25">
      <c r="A96" s="10"/>
      <c r="B96" s="10"/>
    </row>
    <row r="97" spans="1:2" ht="14.25">
      <c r="A97" s="10"/>
      <c r="B97" s="10"/>
    </row>
  </sheetData>
  <sheetProtection sheet="1" objects="1" scenarios="1"/>
  <mergeCells count="2">
    <mergeCell ref="C3:D3"/>
    <mergeCell ref="A5:A6"/>
  </mergeCells>
  <dataValidations count="8">
    <dataValidation type="whole" showInputMessage="1" showErrorMessage="1" promptTitle="True Positives" prompt="No. of cases  positive on the criterion who are also positive on the test." errorTitle="Invalid cell count" error="Cell count must be a positive whole number" sqref="C5">
      <formula1>0</formula1>
      <formula2>9E+99</formula2>
    </dataValidation>
    <dataValidation type="whole" allowBlank="1" showInputMessage="1" showErrorMessage="1" promptTitle="True Negatives" prompt="No. of cases  negative on the criterion who are also negative on the test." errorTitle="Invalid cell count" error="Cell count must be a positive whole number" sqref="D6">
      <formula1>0</formula1>
      <formula2>9E+99</formula2>
    </dataValidation>
    <dataValidation type="whole" allowBlank="1" showInputMessage="1" showErrorMessage="1" promptTitle="False Negatives" prompt="No. of cases  positive on the criterion who are negative on the test." errorTitle="Invalid cell count" error="Cell count must be a positive whole number" sqref="D5">
      <formula1>0</formula1>
      <formula2>9E+99</formula2>
    </dataValidation>
    <dataValidation type="whole" allowBlank="1" showInputMessage="1" showErrorMessage="1" promptTitle="False Postives" prompt="No. of cases  negative on the criterion who are positive on the test." errorTitle="Invalid cell count" error="Cell count must be a positive whole number" sqref="C6">
      <formula1>0</formula1>
      <formula2>9E+99</formula2>
    </dataValidation>
    <dataValidation type="decimal" allowBlank="1" showInputMessage="1" showErrorMessage="1" promptTitle="Confidence Intervals" prompt="Enter width of confidence intervals." errorTitle="Out of Range" error="Confidence intervals must be greater than 0% and less than 100%" sqref="B9">
      <formula1>1E-98</formula1>
      <formula2>0.999999999999999</formula2>
    </dataValidation>
    <dataValidation allowBlank="1" showInputMessage="1" showErrorMessage="1" promptTitle="Name of Disorder" prompt="Enter the name of the disorder or  'Gold Standard' against which the diagnostic test is being evaluated." sqref="A5:A6"/>
    <dataValidation type="whole" allowBlank="1" showInputMessage="1" showErrorMessage="1" prompt="Enter the no. of decimal places for the coeffificents and confidence limits in the summaries." sqref="K9">
      <formula1>0</formula1>
      <formula2>20</formula2>
    </dataValidation>
    <dataValidation allowBlank="1" showInputMessage="1" showErrorMessage="1" prompt="Enter the name of the diagnostic test being evaluated. " sqref="C3"/>
  </dataValidations>
  <printOptions horizontalCentered="1"/>
  <pageMargins left="0.7086614173228347" right="0.7086614173228347" top="0.7874015748031497" bottom="0.7874015748031497" header="0.5" footer="0.5"/>
  <pageSetup fitToHeight="1" fitToWidth="1" horizontalDpi="600" verticalDpi="600" orientation="portrait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DAG_Stat</dc:title>
  <dc:subject>Diagnostic and AGreement STATistics</dc:subject>
  <dc:creator>Andrew Mackinnon</dc:creator>
  <cp:keywords/>
  <dc:description/>
  <cp:lastModifiedBy>Andrew Mackinnon</cp:lastModifiedBy>
  <cp:lastPrinted>1999-06-15T05:46:22Z</cp:lastPrinted>
  <dcterms:created xsi:type="dcterms:W3CDTF">1999-03-29T07:46:00Z</dcterms:created>
  <dcterms:modified xsi:type="dcterms:W3CDTF">2011-01-06T06:06:40Z</dcterms:modified>
  <cp:category/>
  <cp:version/>
  <cp:contentType/>
  <cp:contentStatus/>
</cp:coreProperties>
</file>